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codeName="{7FF41506-D638-49D5-72EF-22EC70B826FC}"/>
  <workbookPr codeName="ThisWorkbook" defaultThemeVersion="164011"/>
  <mc:AlternateContent xmlns:mc="http://schemas.openxmlformats.org/markup-compatibility/2006">
    <mc:Choice Requires="x15">
      <x15ac:absPath xmlns:x15ac="http://schemas.microsoft.com/office/spreadsheetml/2010/11/ac" url="\\oa-fs01\PRJ・個別\16-01930 新MARKETSPEED\21-00370　MS2改善_2021-2Q\20.コンテンツ\04.サンプルシート\"/>
    </mc:Choice>
  </mc:AlternateContent>
  <bookViews>
    <workbookView xWindow="0" yWindow="0" windowWidth="15600" windowHeight="11760"/>
  </bookViews>
  <sheets>
    <sheet name="目次" sheetId="4" r:id="rId1"/>
    <sheet name="国内株発注①" sheetId="1" r:id="rId2"/>
    <sheet name="国内株発注②" sheetId="2" r:id="rId3"/>
    <sheet name="先物OP発注" sheetId="3" r:id="rId4"/>
    <sheet name="発注ID一覧" sheetId="5" r:id="rId5"/>
  </sheets>
  <definedNames>
    <definedName name="_xlnm.Print_Area" localSheetId="1">国内株発注①!$A$1:$U$41</definedName>
    <definedName name="_xlnm.Print_Area" localSheetId="2">国内株発注②!$A$1:$U$92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2" l="1"/>
  <c r="H13" i="2"/>
  <c r="H12" i="2"/>
  <c r="H13" i="1"/>
  <c r="H12" i="1"/>
  <c r="B17" i="1"/>
  <c r="O4" i="1"/>
  <c r="P13" i="3"/>
  <c r="A5" i="5"/>
  <c r="M11" i="2"/>
  <c r="Q4" i="2"/>
  <c r="B40" i="2"/>
  <c r="F15" i="1"/>
  <c r="F11" i="1"/>
  <c r="F15" i="2"/>
  <c r="H11" i="1"/>
  <c r="H11" i="2"/>
  <c r="F11" i="2"/>
  <c r="A4" i="5" l="1"/>
  <c r="O37" i="2" l="1"/>
  <c r="O27" i="2"/>
  <c r="M37" i="1"/>
  <c r="M27" i="1"/>
  <c r="E5" i="4" l="1"/>
  <c r="E8" i="4"/>
  <c r="E11" i="4"/>
  <c r="M20" i="3"/>
  <c r="F8" i="2"/>
  <c r="F8" i="1"/>
  <c r="O15" i="2"/>
  <c r="K12" i="3"/>
  <c r="H13" i="3"/>
  <c r="C14" i="3"/>
  <c r="H10" i="3"/>
  <c r="C13" i="3"/>
  <c r="F20" i="3"/>
  <c r="D13" i="3"/>
  <c r="H11" i="3"/>
  <c r="D15" i="3"/>
  <c r="D11" i="3"/>
  <c r="F21" i="3"/>
  <c r="G22" i="3"/>
  <c r="F15" i="3"/>
  <c r="G21" i="3"/>
  <c r="H15" i="3"/>
  <c r="G19" i="3"/>
  <c r="C15" i="3"/>
  <c r="F14" i="3"/>
  <c r="F10" i="3"/>
  <c r="F11" i="3"/>
  <c r="C12" i="3"/>
  <c r="C8" i="3"/>
  <c r="F23" i="3"/>
  <c r="G23" i="3"/>
  <c r="F19" i="3"/>
  <c r="M21" i="3"/>
  <c r="F12" i="3"/>
  <c r="D12" i="3"/>
  <c r="C10" i="3"/>
  <c r="H14" i="3"/>
  <c r="C11" i="3"/>
  <c r="F22" i="3"/>
  <c r="H12" i="3"/>
  <c r="D10" i="3"/>
  <c r="F13" i="3"/>
  <c r="D14" i="3"/>
  <c r="G20" i="3"/>
  <c r="B17" i="3"/>
  <c r="L21" i="3" l="1"/>
  <c r="M25" i="3"/>
  <c r="M26" i="3"/>
  <c r="M28" i="3"/>
  <c r="M29" i="3"/>
  <c r="M30" i="3"/>
  <c r="M31" i="3"/>
  <c r="M32" i="3"/>
  <c r="M33" i="3"/>
  <c r="M34" i="3"/>
  <c r="M35" i="3"/>
  <c r="M36" i="3"/>
  <c r="O14" i="2"/>
  <c r="N15" i="2"/>
  <c r="O20" i="2"/>
  <c r="O21" i="2"/>
  <c r="O22" i="2"/>
  <c r="L23" i="2"/>
  <c r="M23" i="2"/>
  <c r="O23" i="2"/>
  <c r="P23" i="2"/>
  <c r="L24" i="2"/>
  <c r="L25" i="2"/>
  <c r="O25" i="2"/>
  <c r="L26" i="2"/>
  <c r="O26" i="2"/>
  <c r="L27" i="2"/>
  <c r="L28" i="2"/>
  <c r="O28" i="2"/>
  <c r="L29" i="2"/>
  <c r="O29" i="2"/>
  <c r="L30" i="2"/>
  <c r="O30" i="2"/>
  <c r="L31" i="2"/>
  <c r="O31" i="2"/>
  <c r="L32" i="2"/>
  <c r="O32" i="2"/>
  <c r="L33" i="2"/>
  <c r="O33" i="2"/>
  <c r="L34" i="2"/>
  <c r="O34" i="2"/>
  <c r="L35" i="2"/>
  <c r="M35" i="2"/>
  <c r="O35" i="2"/>
  <c r="P35" i="2"/>
  <c r="L36" i="2"/>
  <c r="O36" i="2"/>
  <c r="L37" i="2"/>
  <c r="L38" i="2"/>
  <c r="O38" i="2"/>
  <c r="K17" i="3"/>
  <c r="C11" i="1"/>
  <c r="G25" i="3"/>
  <c r="G32" i="3"/>
  <c r="H10" i="2"/>
  <c r="H35" i="3"/>
  <c r="G26" i="3"/>
  <c r="F27" i="3"/>
  <c r="H10" i="1"/>
  <c r="H36" i="3"/>
  <c r="F10" i="1"/>
  <c r="C12" i="1"/>
  <c r="C10" i="2"/>
  <c r="H33" i="3"/>
  <c r="G35" i="3"/>
  <c r="D14" i="1"/>
  <c r="F14" i="2"/>
  <c r="F12" i="1"/>
  <c r="H32" i="3"/>
  <c r="F28" i="3"/>
  <c r="H34" i="3"/>
  <c r="G38" i="3"/>
  <c r="C8" i="1"/>
  <c r="G31" i="3"/>
  <c r="F25" i="3"/>
  <c r="D11" i="2"/>
  <c r="F12" i="2"/>
  <c r="F14" i="1"/>
  <c r="G36" i="3"/>
  <c r="H37" i="3"/>
  <c r="D14" i="2"/>
  <c r="C8" i="2"/>
  <c r="C13" i="1"/>
  <c r="F13" i="2"/>
  <c r="G37" i="3"/>
  <c r="E8" i="1"/>
  <c r="C13" i="2"/>
  <c r="G29" i="3"/>
  <c r="E8" i="2"/>
  <c r="F24" i="3"/>
  <c r="F13" i="1"/>
  <c r="H29" i="3"/>
  <c r="C15" i="2"/>
  <c r="F10" i="2"/>
  <c r="H30" i="3"/>
  <c r="D12" i="1"/>
  <c r="D11" i="1"/>
  <c r="H31" i="3"/>
  <c r="G28" i="3"/>
  <c r="D13" i="2"/>
  <c r="D10" i="1"/>
  <c r="C12" i="2"/>
  <c r="D12" i="2"/>
  <c r="C14" i="2"/>
  <c r="D15" i="2"/>
  <c r="C11" i="2"/>
  <c r="H38" i="3"/>
  <c r="G30" i="3"/>
  <c r="D10" i="2"/>
  <c r="G27" i="3"/>
  <c r="G34" i="3"/>
  <c r="F26" i="3"/>
  <c r="D13" i="1"/>
  <c r="C10" i="1"/>
  <c r="G33" i="3"/>
  <c r="G24" i="3"/>
  <c r="C14" i="1"/>
  <c r="L17" i="3" l="1"/>
  <c r="N11" i="2"/>
  <c r="M14" i="1"/>
  <c r="L15" i="1"/>
  <c r="C15" i="1"/>
  <c r="F19" i="1"/>
  <c r="K11" i="1"/>
  <c r="M15" i="1"/>
  <c r="H19" i="1"/>
  <c r="D15" i="1"/>
  <c r="L11" i="1" l="1"/>
  <c r="M19" i="1"/>
  <c r="M20" i="1"/>
  <c r="M21" i="1"/>
  <c r="M22" i="1"/>
  <c r="J23" i="1"/>
  <c r="K23" i="1"/>
  <c r="M23" i="1"/>
  <c r="N23" i="1"/>
  <c r="J24" i="1"/>
  <c r="J25" i="1"/>
  <c r="M25" i="1"/>
  <c r="J26" i="1"/>
  <c r="M26" i="1"/>
  <c r="J27" i="1"/>
  <c r="J28" i="1"/>
  <c r="M28" i="1"/>
  <c r="J29" i="1"/>
  <c r="M29" i="1"/>
  <c r="J30" i="1"/>
  <c r="M30" i="1"/>
  <c r="J31" i="1"/>
  <c r="M31" i="1"/>
  <c r="J32" i="1"/>
  <c r="M32" i="1"/>
  <c r="J33" i="1"/>
  <c r="M33" i="1"/>
  <c r="J34" i="1"/>
  <c r="M34" i="1"/>
  <c r="J35" i="1"/>
  <c r="K35" i="1"/>
  <c r="M35" i="1"/>
  <c r="N35" i="1"/>
  <c r="J36" i="1"/>
  <c r="M36" i="1"/>
  <c r="J37" i="1"/>
  <c r="J38" i="1"/>
  <c r="M38" i="1"/>
  <c r="H36" i="1"/>
  <c r="G26" i="1"/>
  <c r="H33" i="1"/>
  <c r="H39" i="1"/>
  <c r="G33" i="1"/>
  <c r="H38" i="1"/>
  <c r="G38" i="1"/>
  <c r="G35" i="1"/>
  <c r="F30" i="1"/>
  <c r="G23" i="1"/>
  <c r="F27" i="1"/>
  <c r="G28" i="1"/>
  <c r="G39" i="1"/>
  <c r="G32" i="1"/>
  <c r="F22" i="1"/>
  <c r="H31" i="1"/>
  <c r="G22" i="1"/>
  <c r="G36" i="1"/>
  <c r="H40" i="1"/>
  <c r="G21" i="1"/>
  <c r="H34" i="1"/>
  <c r="G30" i="1"/>
  <c r="G27" i="1"/>
  <c r="G25" i="1"/>
  <c r="G24" i="1"/>
  <c r="F28" i="1"/>
  <c r="G37" i="1"/>
  <c r="G40" i="1"/>
  <c r="F25" i="1"/>
  <c r="G31" i="1"/>
  <c r="H35" i="1"/>
  <c r="G34" i="1"/>
  <c r="H37" i="1"/>
  <c r="F21" i="1"/>
  <c r="F20" i="1"/>
  <c r="H41" i="1"/>
  <c r="F29" i="1"/>
  <c r="H32" i="1"/>
  <c r="F26" i="1"/>
  <c r="F24" i="1"/>
  <c r="G29" i="1"/>
  <c r="F23" i="1"/>
</calcChain>
</file>

<file path=xl/comments1.xml><?xml version="1.0" encoding="utf-8"?>
<comments xmlns="http://schemas.openxmlformats.org/spreadsheetml/2006/main">
  <authors>
    <author>Kawakami, Taichi</author>
  </authors>
  <commentList>
    <comment ref="I38" authorId="0" shapeId="0">
      <text>
        <r>
          <rPr>
            <b/>
            <sz val="11"/>
            <color indexed="81"/>
            <rFont val="MS P ゴシック"/>
            <family val="3"/>
            <charset val="128"/>
          </rPr>
          <t>以下から足種を選択
1M ：1分足
2M ：2分足
3M ：3分足
4M ：4分足
5M ：5分足
10M：10分足
15M：15分足
30M：30分足
60M：60分足
2H ：2時間足
4H ：4時間足
8H ：8時間足
D  ：日足
W  ：週足
M  ：月足</t>
        </r>
      </text>
    </comment>
  </commentList>
</comments>
</file>

<file path=xl/sharedStrings.xml><?xml version="1.0" encoding="utf-8"?>
<sst xmlns="http://schemas.openxmlformats.org/spreadsheetml/2006/main" count="388" uniqueCount="246">
  <si>
    <t>UNDER</t>
  </si>
  <si>
    <t>セット注文執行条件が「5：期間指定」の場合、必須</t>
    <rPh sb="3" eb="5">
      <t>チュウモン</t>
    </rPh>
    <rPh sb="5" eb="7">
      <t>シッコウ</t>
    </rPh>
    <rPh sb="7" eb="9">
      <t>ジョウケン</t>
    </rPh>
    <rPh sb="13" eb="17">
      <t>キカンシテイ</t>
    </rPh>
    <rPh sb="19" eb="21">
      <t>バアイ</t>
    </rPh>
    <rPh sb="22" eb="24">
      <t>ヒッス</t>
    </rPh>
    <phoneticPr fontId="4"/>
  </si>
  <si>
    <t>セット注文期限</t>
    <rPh sb="3" eb="5">
      <t>チュウモン</t>
    </rPh>
    <rPh sb="5" eb="7">
      <t>キゲン</t>
    </rPh>
    <phoneticPr fontId="1"/>
  </si>
  <si>
    <t>セット注文執行条件</t>
    <rPh sb="3" eb="5">
      <t>チュウモン</t>
    </rPh>
    <rPh sb="5" eb="7">
      <t>シッコウ</t>
    </rPh>
    <rPh sb="7" eb="9">
      <t>ジョウケン</t>
    </rPh>
    <phoneticPr fontId="1"/>
  </si>
  <si>
    <t>セット注文価格を入力。 (セット注文区分が「1：セット注文(予約する)」の場合、必須。)</t>
    <rPh sb="3" eb="5">
      <t>チュウモン</t>
    </rPh>
    <rPh sb="5" eb="7">
      <t>カカク</t>
    </rPh>
    <rPh sb="8" eb="10">
      <t>ニュウリョク</t>
    </rPh>
    <rPh sb="30" eb="32">
      <t>ヨヤク</t>
    </rPh>
    <phoneticPr fontId="4"/>
  </si>
  <si>
    <t>セット注文価格</t>
    <rPh sb="3" eb="5">
      <t>チュウモン</t>
    </rPh>
    <rPh sb="5" eb="7">
      <t>カカク</t>
    </rPh>
    <phoneticPr fontId="1"/>
  </si>
  <si>
    <t>0：予約しない、 1：予約する　(省略時、予約しない)</t>
    <rPh sb="2" eb="4">
      <t>ヨヤク</t>
    </rPh>
    <rPh sb="11" eb="13">
      <t>ヨヤク</t>
    </rPh>
    <rPh sb="17" eb="20">
      <t>ショウリャクジ</t>
    </rPh>
    <rPh sb="21" eb="23">
      <t>ヨヤク</t>
    </rPh>
    <phoneticPr fontId="4"/>
  </si>
  <si>
    <t>セット注文区分</t>
    <rPh sb="3" eb="5">
      <t>チュウモン</t>
    </rPh>
    <rPh sb="5" eb="7">
      <t>クブン</t>
    </rPh>
    <phoneticPr fontId="1"/>
  </si>
  <si>
    <t>逆指値価格を入力。成行の場合は省略。 (注文区分が「1：逆指値付通常注文」 or 「2：逆指値注文」の場合、必須。)</t>
    <rPh sb="0" eb="3">
      <t>ギャクサシネ</t>
    </rPh>
    <rPh sb="3" eb="5">
      <t>カカク</t>
    </rPh>
    <phoneticPr fontId="4"/>
  </si>
  <si>
    <t>逆指値価格</t>
    <rPh sb="0" eb="1">
      <t>ギャク</t>
    </rPh>
    <rPh sb="1" eb="3">
      <t>サシネ</t>
    </rPh>
    <rPh sb="3" eb="5">
      <t>カカク</t>
    </rPh>
    <phoneticPr fontId="2"/>
  </si>
  <si>
    <t>逆指値価格</t>
    <rPh sb="0" eb="1">
      <t>ギャク</t>
    </rPh>
    <rPh sb="1" eb="3">
      <t>サシネ</t>
    </rPh>
    <rPh sb="3" eb="5">
      <t>カカク</t>
    </rPh>
    <phoneticPr fontId="1"/>
  </si>
  <si>
    <t>0：成行、 1：指値 (注文区分が「1：逆指値付通常注文」 or 「2：逆指値注文」の場合、必須。)</t>
    <phoneticPr fontId="4"/>
  </si>
  <si>
    <t>逆指値価格区分</t>
    <rPh sb="0" eb="1">
      <t>ギャク</t>
    </rPh>
    <rPh sb="1" eb="3">
      <t>サシネ</t>
    </rPh>
    <rPh sb="3" eb="5">
      <t>カカク</t>
    </rPh>
    <rPh sb="5" eb="7">
      <t>クブン</t>
    </rPh>
    <phoneticPr fontId="2"/>
  </si>
  <si>
    <t>逆指値価格区分</t>
    <rPh sb="0" eb="1">
      <t>ギャク</t>
    </rPh>
    <rPh sb="1" eb="3">
      <t>サシネ</t>
    </rPh>
    <rPh sb="3" eb="5">
      <t>カカク</t>
    </rPh>
    <rPh sb="5" eb="7">
      <t>クブン</t>
    </rPh>
    <phoneticPr fontId="1"/>
  </si>
  <si>
    <t>1：以上、 2：以下 (注文区分が「1：逆指値付通常注文」 or 「2：逆指値注文」の場合、必須。)</t>
    <phoneticPr fontId="4"/>
  </si>
  <si>
    <t>逆指値条件区分</t>
    <rPh sb="0" eb="1">
      <t>ギャク</t>
    </rPh>
    <rPh sb="1" eb="3">
      <t>サシネ</t>
    </rPh>
    <rPh sb="3" eb="5">
      <t>ジョウケン</t>
    </rPh>
    <rPh sb="5" eb="7">
      <t>クブン</t>
    </rPh>
    <phoneticPr fontId="2"/>
  </si>
  <si>
    <t>逆指値条件区分</t>
    <rPh sb="0" eb="1">
      <t>ギャク</t>
    </rPh>
    <rPh sb="1" eb="3">
      <t>サシネ</t>
    </rPh>
    <rPh sb="3" eb="5">
      <t>ジョウケン</t>
    </rPh>
    <rPh sb="5" eb="7">
      <t>クブン</t>
    </rPh>
    <phoneticPr fontId="1"/>
  </si>
  <si>
    <t>逆指値条件価格を入力　(注文区分が「1：逆指値付通常注文」 or 「2：逆指値注文」の場合、必須。)</t>
    <rPh sb="0" eb="1">
      <t>ギャク</t>
    </rPh>
    <rPh sb="1" eb="3">
      <t>サシネ</t>
    </rPh>
    <rPh sb="3" eb="5">
      <t>ジョウケン</t>
    </rPh>
    <rPh sb="5" eb="7">
      <t>カカク</t>
    </rPh>
    <rPh sb="8" eb="10">
      <t>ニュウリョク</t>
    </rPh>
    <rPh sb="24" eb="26">
      <t>ツウジョウ</t>
    </rPh>
    <phoneticPr fontId="4"/>
  </si>
  <si>
    <t>逆指値条件価格</t>
    <rPh sb="0" eb="1">
      <t>ギャク</t>
    </rPh>
    <rPh sb="1" eb="3">
      <t>サシネ</t>
    </rPh>
    <rPh sb="3" eb="5">
      <t>ジョウケン</t>
    </rPh>
    <rPh sb="5" eb="7">
      <t>カカク</t>
    </rPh>
    <phoneticPr fontId="2"/>
  </si>
  <si>
    <t>逆指値条件価格</t>
    <rPh sb="0" eb="1">
      <t>ギャク</t>
    </rPh>
    <rPh sb="1" eb="3">
      <t>サシネ</t>
    </rPh>
    <rPh sb="3" eb="5">
      <t>ジョウケン</t>
    </rPh>
    <rPh sb="5" eb="7">
      <t>カカク</t>
    </rPh>
    <phoneticPr fontId="1"/>
  </si>
  <si>
    <t>0：特定、 1：一般、 2：NISA</t>
    <phoneticPr fontId="4"/>
  </si>
  <si>
    <t>口座区分</t>
  </si>
  <si>
    <t>執行条件が「5：期間指定」の場合、必須。 入力型式：YYYYMMDD</t>
    <rPh sb="0" eb="2">
      <t>シッコウ</t>
    </rPh>
    <rPh sb="2" eb="4">
      <t>ジョウケン</t>
    </rPh>
    <rPh sb="8" eb="12">
      <t>キカンシテイ</t>
    </rPh>
    <rPh sb="14" eb="16">
      <t>バアイ</t>
    </rPh>
    <rPh sb="17" eb="19">
      <t>ヒッス</t>
    </rPh>
    <rPh sb="21" eb="25">
      <t>ニュウリョクケイシキ</t>
    </rPh>
    <phoneticPr fontId="4"/>
  </si>
  <si>
    <t>注文期限</t>
    <rPh sb="0" eb="2">
      <t>チュウモン</t>
    </rPh>
    <rPh sb="2" eb="4">
      <t>キゲン</t>
    </rPh>
    <phoneticPr fontId="2"/>
  </si>
  <si>
    <t>注文期限</t>
    <rPh sb="0" eb="2">
      <t>チュウモン</t>
    </rPh>
    <rPh sb="2" eb="4">
      <t>キゲン</t>
    </rPh>
    <phoneticPr fontId="1"/>
  </si>
  <si>
    <t>執行条件</t>
    <rPh sb="0" eb="2">
      <t>シッコウ</t>
    </rPh>
    <rPh sb="2" eb="4">
      <t>ジョウケン</t>
    </rPh>
    <phoneticPr fontId="1"/>
  </si>
  <si>
    <t>注文価格を入力。成行の場合は省略。 (注文区分が「0：通常注文」 or 「1：逆指値付通常注文」 の場合、必須。)</t>
    <rPh sb="0" eb="4">
      <t>チュウモンカカク</t>
    </rPh>
    <rPh sb="5" eb="7">
      <t>ニュウリョク</t>
    </rPh>
    <rPh sb="8" eb="10">
      <t>ナリユキ</t>
    </rPh>
    <rPh sb="11" eb="13">
      <t>バアイ</t>
    </rPh>
    <rPh sb="14" eb="16">
      <t>ショウリャク</t>
    </rPh>
    <phoneticPr fontId="4"/>
  </si>
  <si>
    <t>注文価格</t>
    <rPh sb="2" eb="4">
      <t>カカク</t>
    </rPh>
    <phoneticPr fontId="1"/>
  </si>
  <si>
    <t>0：成行、 1：指値 (注文区分が「0：通常注文」 or 「1：逆指値付通常注文」 の場合、必須。)</t>
    <phoneticPr fontId="4"/>
  </si>
  <si>
    <t>価格区分</t>
    <rPh sb="0" eb="2">
      <t>カカク</t>
    </rPh>
    <rPh sb="2" eb="4">
      <t>クブン</t>
    </rPh>
    <phoneticPr fontId="2"/>
  </si>
  <si>
    <t>価格区分</t>
    <rPh sb="0" eb="2">
      <t>カカク</t>
    </rPh>
    <rPh sb="2" eb="4">
      <t>クブン</t>
    </rPh>
    <phoneticPr fontId="1"/>
  </si>
  <si>
    <t>注文数量を入力</t>
    <rPh sb="0" eb="4">
      <t>チュウモンスウリョウ</t>
    </rPh>
    <rPh sb="5" eb="7">
      <t>ニュウリョク</t>
    </rPh>
    <phoneticPr fontId="4"/>
  </si>
  <si>
    <t>ー</t>
    <phoneticPr fontId="4"/>
  </si>
  <si>
    <t>注文数量</t>
  </si>
  <si>
    <t>0：通常注文、 1：SOR注文</t>
    <phoneticPr fontId="4"/>
  </si>
  <si>
    <t>SOR区分</t>
    <rPh sb="3" eb="5">
      <t>クブン</t>
    </rPh>
    <phoneticPr fontId="1"/>
  </si>
  <si>
    <t>第6引数</t>
  </si>
  <si>
    <t>0：通常注文、 1：逆指値付通常注文、 2：逆指値注文</t>
    <phoneticPr fontId="4"/>
  </si>
  <si>
    <t>注文区分</t>
    <rPh sb="0" eb="2">
      <t>チュウモン</t>
    </rPh>
    <rPh sb="2" eb="4">
      <t>クブン</t>
    </rPh>
    <phoneticPr fontId="2"/>
  </si>
  <si>
    <t>注文区分</t>
    <rPh sb="0" eb="2">
      <t>チュウモン</t>
    </rPh>
    <rPh sb="2" eb="4">
      <t>クブン</t>
    </rPh>
    <phoneticPr fontId="1"/>
  </si>
  <si>
    <t>第5引数</t>
  </si>
  <si>
    <t>1：売り、 3：買い</t>
    <rPh sb="2" eb="3">
      <t>ウ</t>
    </rPh>
    <rPh sb="8" eb="9">
      <t>カ</t>
    </rPh>
    <phoneticPr fontId="4"/>
  </si>
  <si>
    <t>売買区分</t>
  </si>
  <si>
    <t>第4引数</t>
  </si>
  <si>
    <t>OVER</t>
  </si>
  <si>
    <t>0：現物取引、 1：信用取引</t>
    <rPh sb="2" eb="4">
      <t>ゲンブツ</t>
    </rPh>
    <rPh sb="4" eb="6">
      <t>トリヒキ</t>
    </rPh>
    <rPh sb="10" eb="12">
      <t>シンヨウ</t>
    </rPh>
    <rPh sb="12" eb="14">
      <t>トリヒキ</t>
    </rPh>
    <phoneticPr fontId="4"/>
  </si>
  <si>
    <t>注文（現物/信用）</t>
    <rPh sb="0" eb="2">
      <t>チュウモン</t>
    </rPh>
    <rPh sb="3" eb="5">
      <t>ゲンブツ</t>
    </rPh>
    <rPh sb="6" eb="8">
      <t>シンヨウ</t>
    </rPh>
    <phoneticPr fontId="4"/>
  </si>
  <si>
    <t>-</t>
    <phoneticPr fontId="4"/>
  </si>
  <si>
    <t>成行</t>
  </si>
  <si>
    <t>入力説明</t>
    <rPh sb="0" eb="2">
      <t>ニュウリョク</t>
    </rPh>
    <rPh sb="2" eb="4">
      <t>セツメイ</t>
    </rPh>
    <phoneticPr fontId="4"/>
  </si>
  <si>
    <t>設定内容</t>
    <rPh sb="0" eb="2">
      <t>セッテイ</t>
    </rPh>
    <rPh sb="2" eb="4">
      <t>ナイヨウ</t>
    </rPh>
    <phoneticPr fontId="4"/>
  </si>
  <si>
    <t>入力欄</t>
    <rPh sb="0" eb="3">
      <t>ニュウリョクラン</t>
    </rPh>
    <phoneticPr fontId="4"/>
  </si>
  <si>
    <t>引数名</t>
    <rPh sb="0" eb="3">
      <t>ヒキスウメイ</t>
    </rPh>
    <phoneticPr fontId="4"/>
  </si>
  <si>
    <t>引数番号</t>
    <rPh sb="0" eb="2">
      <t>ヒキスウ</t>
    </rPh>
    <rPh sb="2" eb="4">
      <t>バンゴウ</t>
    </rPh>
    <phoneticPr fontId="4"/>
  </si>
  <si>
    <t>買数量</t>
    <rPh sb="0" eb="3">
      <t>カイスウリョウ</t>
    </rPh>
    <phoneticPr fontId="4"/>
  </si>
  <si>
    <t>値段</t>
    <rPh sb="0" eb="2">
      <t>ネダン</t>
    </rPh>
    <phoneticPr fontId="4"/>
  </si>
  <si>
    <t>売数量</t>
    <rPh sb="0" eb="3">
      <t>ウリスウリョウ</t>
    </rPh>
    <phoneticPr fontId="4"/>
  </si>
  <si>
    <t>約定値</t>
    <rPh sb="0" eb="3">
      <t>ヤクジョウチ</t>
    </rPh>
    <phoneticPr fontId="4"/>
  </si>
  <si>
    <t>出来高</t>
    <rPh sb="0" eb="3">
      <t>デキダカ</t>
    </rPh>
    <phoneticPr fontId="4"/>
  </si>
  <si>
    <t>時刻</t>
    <rPh sb="0" eb="2">
      <t>ジコク</t>
    </rPh>
    <phoneticPr fontId="4"/>
  </si>
  <si>
    <t>手順①で指定した銘柄コードを参照</t>
    <rPh sb="0" eb="2">
      <t>テジュン</t>
    </rPh>
    <rPh sb="4" eb="6">
      <t>シテイ</t>
    </rPh>
    <rPh sb="8" eb="10">
      <t>メイガラ</t>
    </rPh>
    <rPh sb="14" eb="16">
      <t>サンショウ</t>
    </rPh>
    <phoneticPr fontId="4"/>
  </si>
  <si>
    <t>銘柄コード</t>
  </si>
  <si>
    <t>第3引数</t>
  </si>
  <si>
    <t>安値（時刻）</t>
    <rPh sb="0" eb="2">
      <t>ヤスネ</t>
    </rPh>
    <phoneticPr fontId="4"/>
  </si>
  <si>
    <t>0(False)：待機、1(True)：発注 (省略時は、「0(False)：待機」)</t>
    <phoneticPr fontId="4"/>
  </si>
  <si>
    <t>発注トリガー</t>
    <rPh sb="0" eb="2">
      <t>ハッチュウ</t>
    </rPh>
    <phoneticPr fontId="2"/>
  </si>
  <si>
    <t>発注トリガー</t>
    <rPh sb="0" eb="2">
      <t>ハッチュウ</t>
    </rPh>
    <phoneticPr fontId="1"/>
  </si>
  <si>
    <t>第2引数</t>
  </si>
  <si>
    <t>高値（時刻）</t>
    <rPh sb="0" eb="2">
      <t>タカネ</t>
    </rPh>
    <phoneticPr fontId="4"/>
  </si>
  <si>
    <t>Excelから注文を一意に識別するための番号 (1以上の数値で入力)</t>
    <phoneticPr fontId="4"/>
  </si>
  <si>
    <t>ー</t>
    <phoneticPr fontId="4"/>
  </si>
  <si>
    <t>発注ID</t>
    <rPh sb="0" eb="2">
      <t>ハッチュウ</t>
    </rPh>
    <phoneticPr fontId="2"/>
  </si>
  <si>
    <t>発注ID</t>
    <rPh sb="0" eb="2">
      <t>ハッチュウ</t>
    </rPh>
    <phoneticPr fontId="1"/>
  </si>
  <si>
    <t>第1引数</t>
    <phoneticPr fontId="4"/>
  </si>
  <si>
    <t>PER</t>
    <phoneticPr fontId="4"/>
  </si>
  <si>
    <t>前日日付</t>
    <rPh sb="0" eb="2">
      <t>ゼンジツ</t>
    </rPh>
    <rPh sb="2" eb="4">
      <t>ヒヅケ</t>
    </rPh>
    <phoneticPr fontId="4"/>
  </si>
  <si>
    <t>始値（時刻）</t>
    <rPh sb="0" eb="2">
      <t>ハジメネ</t>
    </rPh>
    <phoneticPr fontId="4"/>
  </si>
  <si>
    <t>引数説明</t>
    <rPh sb="0" eb="2">
      <t>ヒキスウ</t>
    </rPh>
    <rPh sb="2" eb="4">
      <t>セツメイ</t>
    </rPh>
    <phoneticPr fontId="4"/>
  </si>
  <si>
    <t>設定値</t>
    <rPh sb="0" eb="3">
      <t>セッテイチ</t>
    </rPh>
    <phoneticPr fontId="4"/>
  </si>
  <si>
    <t>PBR</t>
    <phoneticPr fontId="4"/>
  </si>
  <si>
    <t>前日終値</t>
    <rPh sb="0" eb="4">
      <t>ゼンジツオワリネ</t>
    </rPh>
    <phoneticPr fontId="4"/>
  </si>
  <si>
    <t>最良買気配値（時刻）</t>
    <phoneticPr fontId="4"/>
  </si>
  <si>
    <t>注文関数</t>
    <rPh sb="0" eb="4">
      <t>チュウモンカンスウ</t>
    </rPh>
    <phoneticPr fontId="4"/>
  </si>
  <si>
    <t>前日比率</t>
    <rPh sb="0" eb="3">
      <t>ゼンジツヒ</t>
    </rPh>
    <rPh sb="3" eb="4">
      <t>リツ</t>
    </rPh>
    <phoneticPr fontId="4"/>
  </si>
  <si>
    <t>最良売気配値（時刻）</t>
    <phoneticPr fontId="4"/>
  </si>
  <si>
    <t>VWAP</t>
    <phoneticPr fontId="4"/>
  </si>
  <si>
    <t>前日比</t>
    <rPh sb="0" eb="3">
      <t>ゼンジツヒ</t>
    </rPh>
    <phoneticPr fontId="4"/>
  </si>
  <si>
    <t>現在値（時刻）</t>
    <rPh sb="0" eb="3">
      <t>ゲンザイネ</t>
    </rPh>
    <rPh sb="4" eb="6">
      <t>ジコク</t>
    </rPh>
    <phoneticPr fontId="4"/>
  </si>
  <si>
    <t>銘柄コード</t>
    <rPh sb="0" eb="2">
      <t>メイガラ</t>
    </rPh>
    <phoneticPr fontId="4"/>
  </si>
  <si>
    <t>銘柄情報</t>
    <rPh sb="0" eb="4">
      <t>メイガラジョウホウ</t>
    </rPh>
    <phoneticPr fontId="4"/>
  </si>
  <si>
    <t>信用貸借</t>
    <rPh sb="0" eb="2">
      <t>シンヨウ</t>
    </rPh>
    <rPh sb="2" eb="4">
      <t>タイシャク</t>
    </rPh>
    <phoneticPr fontId="4"/>
  </si>
  <si>
    <t>市場</t>
    <rPh sb="0" eb="2">
      <t>シジョウ</t>
    </rPh>
    <phoneticPr fontId="4"/>
  </si>
  <si>
    <t>銘柄名</t>
    <rPh sb="0" eb="3">
      <t>メイガラメイ</t>
    </rPh>
    <phoneticPr fontId="4"/>
  </si>
  <si>
    <t>信用口座_保証金率(新規建)</t>
  </si>
  <si>
    <t>信用口座_信用新規建余力</t>
  </si>
  <si>
    <t>信用口座_保証金余裕額</t>
  </si>
  <si>
    <t>現物買付可能額</t>
  </si>
  <si>
    <t>④　発注ボタンをクリック、発注トリガーに「1:発注」がセットされ、注文が発注されます。</t>
    <rPh sb="2" eb="4">
      <t>ハッチュウ</t>
    </rPh>
    <rPh sb="13" eb="15">
      <t>ハッチュウ</t>
    </rPh>
    <rPh sb="23" eb="25">
      <t>ハッチュウ</t>
    </rPh>
    <rPh sb="33" eb="35">
      <t>チュウモン</t>
    </rPh>
    <rPh sb="36" eb="38">
      <t>ハッチュウ</t>
    </rPh>
    <phoneticPr fontId="4"/>
  </si>
  <si>
    <t>➂　注文種類を現物/信用から選択、注文条件を入力。</t>
    <rPh sb="2" eb="6">
      <t>チュウモンシュルイ</t>
    </rPh>
    <rPh sb="7" eb="9">
      <t>ゲンブツ</t>
    </rPh>
    <rPh sb="10" eb="12">
      <t>シンヨウ</t>
    </rPh>
    <rPh sb="14" eb="16">
      <t>センタク</t>
    </rPh>
    <rPh sb="17" eb="21">
      <t>チュウモンジョウケン</t>
    </rPh>
    <rPh sb="22" eb="24">
      <t>ニュウリョク</t>
    </rPh>
    <phoneticPr fontId="4"/>
  </si>
  <si>
    <t>②　発注IDセットボタンをクリック、発注トリガーが0:待機中となり、新規発注IDがセットされます。</t>
    <rPh sb="2" eb="4">
      <t>ハッチュウ</t>
    </rPh>
    <rPh sb="18" eb="20">
      <t>ハッチュウ</t>
    </rPh>
    <rPh sb="27" eb="30">
      <t>タイキチュウ</t>
    </rPh>
    <rPh sb="34" eb="36">
      <t>シンキ</t>
    </rPh>
    <rPh sb="36" eb="38">
      <t>ハッチュウ</t>
    </rPh>
    <phoneticPr fontId="4"/>
  </si>
  <si>
    <t>①　銘柄コードを指定。銘柄情報・歩み値・板情報が表示されます。（「銘柄コード.市場」の形式で入力「.市場」は省略可。市況は.T：東証（省略時東証）、.JNX：JNX、.CHJ：Chi-x）</t>
    <rPh sb="2" eb="4">
      <t>メイガラ</t>
    </rPh>
    <rPh sb="8" eb="10">
      <t>シテイ</t>
    </rPh>
    <rPh sb="11" eb="15">
      <t>メイガラジョウホウ</t>
    </rPh>
    <rPh sb="16" eb="17">
      <t>アユ</t>
    </rPh>
    <rPh sb="18" eb="19">
      <t>ネ</t>
    </rPh>
    <rPh sb="20" eb="21">
      <t>イタ</t>
    </rPh>
    <rPh sb="21" eb="23">
      <t>ジョウホウ</t>
    </rPh>
    <rPh sb="24" eb="26">
      <t>ヒョウジ</t>
    </rPh>
    <phoneticPr fontId="4"/>
  </si>
  <si>
    <t>終値</t>
  </si>
  <si>
    <t>安値</t>
  </si>
  <si>
    <t>高値</t>
  </si>
  <si>
    <t>始値</t>
  </si>
  <si>
    <t>出来高</t>
  </si>
  <si>
    <t>足種</t>
    <rPh sb="0" eb="2">
      <t>アシシュ</t>
    </rPh>
    <phoneticPr fontId="4"/>
  </si>
  <si>
    <t>市場名称</t>
    <rPh sb="0" eb="4">
      <t>シジョウメイショウ</t>
    </rPh>
    <phoneticPr fontId="4"/>
  </si>
  <si>
    <t>銘柄名称</t>
    <rPh sb="0" eb="4">
      <t>メイガラメイショウ</t>
    </rPh>
    <phoneticPr fontId="4"/>
  </si>
  <si>
    <t>10M</t>
    <phoneticPr fontId="4"/>
  </si>
  <si>
    <t>表示本数</t>
    <rPh sb="0" eb="2">
      <t>ヒョウジ</t>
    </rPh>
    <rPh sb="2" eb="4">
      <t>ホンスウ</t>
    </rPh>
    <phoneticPr fontId="4"/>
  </si>
  <si>
    <t>0：成行、 1：指値 (注文区分が「1：逆指値付通常注文」 or 「2：逆指値注文」の場合、必須。)</t>
    <phoneticPr fontId="4"/>
  </si>
  <si>
    <t>0：成行、 1：指値 (注文区分が「0：通常注文」 or 「1：逆指値付通常注文」 の場合、必須。)</t>
    <phoneticPr fontId="4"/>
  </si>
  <si>
    <t>ー</t>
    <phoneticPr fontId="4"/>
  </si>
  <si>
    <t>0：通常注文、 1：SOR注文</t>
    <phoneticPr fontId="4"/>
  </si>
  <si>
    <t>0：通常注文、 1：逆指値付通常注文、 2：逆指値注文</t>
    <phoneticPr fontId="4"/>
  </si>
  <si>
    <t>0(False)：待機、1(True)：発注 (省略時は、「0(False)：待機」)</t>
    <phoneticPr fontId="4"/>
  </si>
  <si>
    <t>Excelから注文を一意に識別するための番号 (1以上の数値で入力)</t>
    <phoneticPr fontId="4"/>
  </si>
  <si>
    <t>ー</t>
    <phoneticPr fontId="4"/>
  </si>
  <si>
    <t>第1引数</t>
    <phoneticPr fontId="4"/>
  </si>
  <si>
    <t>PER</t>
    <phoneticPr fontId="4"/>
  </si>
  <si>
    <t>PBR</t>
    <phoneticPr fontId="4"/>
  </si>
  <si>
    <t>最良買気配値（時刻）</t>
    <phoneticPr fontId="4"/>
  </si>
  <si>
    <t>最良売気配値（時刻）</t>
    <phoneticPr fontId="4"/>
  </si>
  <si>
    <t>VWAP</t>
    <phoneticPr fontId="4"/>
  </si>
  <si>
    <t>①　銘柄コードを指定。銘柄情報・チャートが表示されます。（「銘柄コード.市場」の形式で入力「.市場」は省略可。市況は.T：東証（省略時東証）、.JNX：JNX、.CHJ：Chi-x）</t>
    <rPh sb="2" eb="4">
      <t>メイガラ</t>
    </rPh>
    <rPh sb="8" eb="10">
      <t>シテイ</t>
    </rPh>
    <rPh sb="21" eb="23">
      <t>ヒョウジ</t>
    </rPh>
    <phoneticPr fontId="4"/>
  </si>
  <si>
    <t>逆指値価格を入力。成行の場合は省略。 (注文区分が「1：逆指値付通常注文」 or 「2：逆指値注文」の場合、必須。)</t>
    <rPh sb="0" eb="3">
      <t>ギャクサシネ</t>
    </rPh>
    <phoneticPr fontId="4"/>
  </si>
  <si>
    <t>第15引数</t>
  </si>
  <si>
    <r>
      <rPr>
        <sz val="10"/>
        <rFont val="Meiryo UI"/>
        <family val="3"/>
        <charset val="128"/>
      </rPr>
      <t xml:space="preserve">0：成行、 1：指値 </t>
    </r>
    <r>
      <rPr>
        <sz val="10"/>
        <color theme="1"/>
        <rFont val="Meiryo UI"/>
        <family val="3"/>
        <charset val="128"/>
      </rPr>
      <t>(注文区分が「1：逆指値付通常注文」 or 「2：逆指値注文」の場合、必須。)</t>
    </r>
    <phoneticPr fontId="4"/>
  </si>
  <si>
    <t>第14引数</t>
  </si>
  <si>
    <t>1：以上、 2：以下 (注文区分が「1：逆指値付通常注文」 or 「2：逆指値注文」の場合、必須。)</t>
    <phoneticPr fontId="4"/>
  </si>
  <si>
    <t>第13引数</t>
  </si>
  <si>
    <t>逆指値条件価格を入力 (注文区分が「1：逆指値付通常注文」 or 「2：逆指値注文」の場合、必須。)</t>
    <rPh sb="0" eb="1">
      <t>ギャク</t>
    </rPh>
    <rPh sb="1" eb="3">
      <t>サシネ</t>
    </rPh>
    <rPh sb="3" eb="5">
      <t>ジョウケン</t>
    </rPh>
    <rPh sb="5" eb="7">
      <t>カカク</t>
    </rPh>
    <rPh sb="8" eb="10">
      <t>ニュウリョク</t>
    </rPh>
    <rPh sb="24" eb="26">
      <t>ツウジョウ</t>
    </rPh>
    <phoneticPr fontId="4"/>
  </si>
  <si>
    <t>第12引数</t>
  </si>
  <si>
    <t>執行時間条件が「5：期間指定」の場合、必須。</t>
    <rPh sb="0" eb="2">
      <t>シッコウ</t>
    </rPh>
    <rPh sb="2" eb="4">
      <t>ジカン</t>
    </rPh>
    <rPh sb="4" eb="6">
      <t>ジョウケン</t>
    </rPh>
    <rPh sb="10" eb="14">
      <t>キカンシテイ</t>
    </rPh>
    <rPh sb="16" eb="18">
      <t>バアイ</t>
    </rPh>
    <rPh sb="19" eb="21">
      <t>ヒッス</t>
    </rPh>
    <phoneticPr fontId="4"/>
  </si>
  <si>
    <t>第11引数</t>
  </si>
  <si>
    <t>1：当セッション、 4：引け、 5：期間指定、 9：取引最終日</t>
    <phoneticPr fontId="4"/>
  </si>
  <si>
    <t>執行時間条件</t>
    <rPh sb="0" eb="2">
      <t>シッコウ</t>
    </rPh>
    <rPh sb="2" eb="4">
      <t>ジカン</t>
    </rPh>
    <rPh sb="4" eb="6">
      <t>ジョウケン</t>
    </rPh>
    <phoneticPr fontId="2"/>
  </si>
  <si>
    <t>第10引数</t>
  </si>
  <si>
    <t>1：FOK、 2：FAK、 3：FAS</t>
    <phoneticPr fontId="4"/>
  </si>
  <si>
    <t>執行数量条件</t>
    <rPh sb="0" eb="2">
      <t>シッコウ</t>
    </rPh>
    <rPh sb="2" eb="4">
      <t>スウリョウ</t>
    </rPh>
    <rPh sb="4" eb="6">
      <t>ジョウケン</t>
    </rPh>
    <phoneticPr fontId="2"/>
  </si>
  <si>
    <t>第9引数</t>
  </si>
  <si>
    <t>注文価格を入力。成行の場合は省略。 (注文区分が「0：通常注文」 or 「1：逆指値付通常注文」 の場合、必須。)</t>
    <phoneticPr fontId="4"/>
  </si>
  <si>
    <t>注文価格</t>
    <rPh sb="0" eb="2">
      <t>チュウモン</t>
    </rPh>
    <rPh sb="2" eb="4">
      <t>カカク</t>
    </rPh>
    <phoneticPr fontId="2"/>
  </si>
  <si>
    <t>第8引数</t>
  </si>
  <si>
    <t>第7引数</t>
  </si>
  <si>
    <t>ー</t>
    <phoneticPr fontId="4"/>
  </si>
  <si>
    <t>0：通常注文、 1：逆指値付通常注文、 2：逆指値注文</t>
    <phoneticPr fontId="4"/>
  </si>
  <si>
    <t>1：売り(売建)、 3：買い(買建)</t>
    <rPh sb="2" eb="3">
      <t>ウ</t>
    </rPh>
    <rPh sb="5" eb="6">
      <t>ウ</t>
    </rPh>
    <rPh sb="6" eb="7">
      <t>ダテ</t>
    </rPh>
    <rPh sb="12" eb="13">
      <t>カ</t>
    </rPh>
    <rPh sb="15" eb="17">
      <t>カイダテ</t>
    </rPh>
    <phoneticPr fontId="4"/>
  </si>
  <si>
    <t>売買区分</t>
    <rPh sb="0" eb="2">
      <t>バイバイ</t>
    </rPh>
    <rPh sb="2" eb="4">
      <t>クブン</t>
    </rPh>
    <phoneticPr fontId="2"/>
  </si>
  <si>
    <t>銘柄コード</t>
    <rPh sb="0" eb="2">
      <t>メイガラ</t>
    </rPh>
    <phoneticPr fontId="2"/>
  </si>
  <si>
    <t>0(False)：待機、1(True)：発注 (省略時は、「0(False)：待機」)</t>
    <phoneticPr fontId="4"/>
  </si>
  <si>
    <t>Excelから注文を一意に識別するための番号 (1以上の数値で入力)</t>
    <phoneticPr fontId="4"/>
  </si>
  <si>
    <t>第1引数</t>
    <phoneticPr fontId="4"/>
  </si>
  <si>
    <t>ロー</t>
    <phoneticPr fontId="4"/>
  </si>
  <si>
    <t>残存日数</t>
    <rPh sb="0" eb="4">
      <t>ザンゾンニッスウ</t>
    </rPh>
    <phoneticPr fontId="4"/>
  </si>
  <si>
    <t>純資産</t>
  </si>
  <si>
    <t>追証余裕額</t>
  </si>
  <si>
    <t>当社証拠金所要額</t>
  </si>
  <si>
    <t>最低証拠金所要額</t>
  </si>
  <si>
    <t>受入証拠金</t>
  </si>
  <si>
    <t>証拠金維持率</t>
  </si>
  <si>
    <t>セータ</t>
    <phoneticPr fontId="4"/>
  </si>
  <si>
    <t>ベガ</t>
    <phoneticPr fontId="4"/>
  </si>
  <si>
    <t>清算値</t>
    <rPh sb="0" eb="2">
      <t>セイサン</t>
    </rPh>
    <rPh sb="2" eb="3">
      <t>チ</t>
    </rPh>
    <phoneticPr fontId="4"/>
  </si>
  <si>
    <t>始値（時刻）</t>
    <rPh sb="0" eb="2">
      <t>ハジメネ</t>
    </rPh>
    <rPh sb="3" eb="5">
      <t>ジコク</t>
    </rPh>
    <phoneticPr fontId="4"/>
  </si>
  <si>
    <t>ガンマ</t>
    <phoneticPr fontId="4"/>
  </si>
  <si>
    <t>VWAP</t>
    <phoneticPr fontId="4"/>
  </si>
  <si>
    <t>前日終値（日付）</t>
    <rPh sb="0" eb="4">
      <t>ゼンジツオワリネ</t>
    </rPh>
    <rPh sb="5" eb="7">
      <t>ヒヅケ</t>
    </rPh>
    <phoneticPr fontId="4"/>
  </si>
  <si>
    <t>行使価格を入力する。（日経225オプション時、必須。）</t>
    <rPh sb="0" eb="4">
      <t>コウシカカク</t>
    </rPh>
    <rPh sb="5" eb="7">
      <t>ニュウリョク</t>
    </rPh>
    <rPh sb="11" eb="13">
      <t>ニッケイ</t>
    </rPh>
    <rPh sb="21" eb="22">
      <t>ジ</t>
    </rPh>
    <rPh sb="23" eb="25">
      <t>ヒッス</t>
    </rPh>
    <phoneticPr fontId="4"/>
  </si>
  <si>
    <t>行使価格</t>
    <rPh sb="0" eb="2">
      <t>コウシ</t>
    </rPh>
    <rPh sb="2" eb="4">
      <t>カカク</t>
    </rPh>
    <phoneticPr fontId="12"/>
  </si>
  <si>
    <t>デルタ</t>
    <phoneticPr fontId="4"/>
  </si>
  <si>
    <t>前日比（率）</t>
    <rPh sb="0" eb="3">
      <t>ゼンジツヒ</t>
    </rPh>
    <rPh sb="4" eb="5">
      <t>リツ</t>
    </rPh>
    <phoneticPr fontId="4"/>
  </si>
  <si>
    <t>1：コール、2：プット（日経225オプション時、必須。）</t>
    <rPh sb="12" eb="14">
      <t>ニッケイ</t>
    </rPh>
    <rPh sb="22" eb="23">
      <t>ジ</t>
    </rPh>
    <rPh sb="24" eb="26">
      <t>ヒッス</t>
    </rPh>
    <phoneticPr fontId="4"/>
  </si>
  <si>
    <t>C/P</t>
    <phoneticPr fontId="12"/>
  </si>
  <si>
    <t>2021年3月限の場合「202103」
ウィークリーオプション時、語尾に「#n」を指定（例：2021年3月限4週「202103#4」）</t>
    <rPh sb="4" eb="5">
      <t>ネン</t>
    </rPh>
    <rPh sb="6" eb="7">
      <t>ガツ</t>
    </rPh>
    <rPh sb="7" eb="8">
      <t>ゲン</t>
    </rPh>
    <rPh sb="9" eb="11">
      <t>バアイ</t>
    </rPh>
    <rPh sb="31" eb="32">
      <t>ジ</t>
    </rPh>
    <rPh sb="33" eb="35">
      <t>ゴビ</t>
    </rPh>
    <rPh sb="41" eb="43">
      <t>シテイ</t>
    </rPh>
    <rPh sb="44" eb="45">
      <t>レイ</t>
    </rPh>
    <rPh sb="50" eb="51">
      <t>ネン</t>
    </rPh>
    <rPh sb="52" eb="53">
      <t>ガツ</t>
    </rPh>
    <rPh sb="53" eb="54">
      <t>ゲン</t>
    </rPh>
    <rPh sb="55" eb="56">
      <t>シュウ</t>
    </rPh>
    <phoneticPr fontId="4"/>
  </si>
  <si>
    <t>限月</t>
    <rPh sb="0" eb="2">
      <t>ゲンゲツ</t>
    </rPh>
    <phoneticPr fontId="12"/>
  </si>
  <si>
    <t>銘柄種類</t>
    <rPh sb="0" eb="2">
      <t>メイガラ</t>
    </rPh>
    <rPh sb="2" eb="4">
      <t>シュルイ</t>
    </rPh>
    <phoneticPr fontId="12"/>
  </si>
  <si>
    <t>入力欄</t>
    <rPh sb="0" eb="3">
      <t>ニュウリョクラン</t>
    </rPh>
    <phoneticPr fontId="12"/>
  </si>
  <si>
    <t>項目</t>
    <rPh sb="0" eb="2">
      <t>コウモク</t>
    </rPh>
    <phoneticPr fontId="12"/>
  </si>
  <si>
    <t>➂　注文条件を入力（発注トリガーは0:待機中とする）。</t>
    <phoneticPr fontId="4"/>
  </si>
  <si>
    <t>①　銘柄種類・限月（OPの場合はC/P・行使価格も指定）を指定。銘柄コードが表示され、銘柄情報・歩み値・板情報が表示されます。</t>
    <rPh sb="2" eb="4">
      <t>メイガラ</t>
    </rPh>
    <rPh sb="4" eb="6">
      <t>シュルイ</t>
    </rPh>
    <rPh sb="7" eb="9">
      <t>ゲンゲツ</t>
    </rPh>
    <rPh sb="13" eb="15">
      <t>バアイ</t>
    </rPh>
    <rPh sb="20" eb="24">
      <t>コウシカカク</t>
    </rPh>
    <rPh sb="25" eb="27">
      <t>シテイ</t>
    </rPh>
    <rPh sb="29" eb="31">
      <t>シテイ</t>
    </rPh>
    <rPh sb="32" eb="34">
      <t>メイガラ</t>
    </rPh>
    <rPh sb="38" eb="40">
      <t>ヒョウジ</t>
    </rPh>
    <rPh sb="43" eb="45">
      <t>メイガラ</t>
    </rPh>
    <rPh sb="45" eb="47">
      <t>ジョウホウ</t>
    </rPh>
    <rPh sb="48" eb="49">
      <t>アユ</t>
    </rPh>
    <rPh sb="50" eb="51">
      <t>ネ</t>
    </rPh>
    <rPh sb="52" eb="53">
      <t>イタ</t>
    </rPh>
    <rPh sb="53" eb="55">
      <t>ジョウホウ</t>
    </rPh>
    <rPh sb="56" eb="58">
      <t>ヒョウジ</t>
    </rPh>
    <phoneticPr fontId="4"/>
  </si>
  <si>
    <t>先物OP注文</t>
    <rPh sb="0" eb="1">
      <t>サキ</t>
    </rPh>
    <rPh sb="1" eb="2">
      <t>モノ</t>
    </rPh>
    <rPh sb="4" eb="6">
      <t>チュウモン</t>
    </rPh>
    <phoneticPr fontId="4"/>
  </si>
  <si>
    <t>国内株-信用注文</t>
    <rPh sb="0" eb="3">
      <t>コクナイカブ</t>
    </rPh>
    <rPh sb="4" eb="6">
      <t>シンヨウ</t>
    </rPh>
    <rPh sb="6" eb="8">
      <t>チュウモン</t>
    </rPh>
    <phoneticPr fontId="4"/>
  </si>
  <si>
    <t>国内株-現物注文</t>
    <rPh sb="0" eb="3">
      <t>コクナイカブ</t>
    </rPh>
    <rPh sb="4" eb="8">
      <t>ゲンブツチュウモン</t>
    </rPh>
    <phoneticPr fontId="4"/>
  </si>
  <si>
    <t>・MSII-RSSの注文関数の詳細説明についてはコチラ</t>
    <rPh sb="10" eb="12">
      <t>チュウモン</t>
    </rPh>
    <rPh sb="12" eb="14">
      <t>カンスウ</t>
    </rPh>
    <rPh sb="15" eb="17">
      <t>ショウサイ</t>
    </rPh>
    <rPh sb="17" eb="19">
      <t>セツメイ</t>
    </rPh>
    <phoneticPr fontId="4"/>
  </si>
  <si>
    <t>・MSII-RSSの利用方法についてはコチラ</t>
    <rPh sb="10" eb="14">
      <t>リヨウホウホウ</t>
    </rPh>
    <phoneticPr fontId="4"/>
  </si>
  <si>
    <t>RSSの利用方法について</t>
    <rPh sb="4" eb="8">
      <t>リヨウホウホウ</t>
    </rPh>
    <phoneticPr fontId="4"/>
  </si>
  <si>
    <t>発注トリガーに「１」をセットし、注文が発注されます。</t>
    <rPh sb="0" eb="2">
      <t>ハッチュウ</t>
    </rPh>
    <rPh sb="16" eb="18">
      <t>チュウモン</t>
    </rPh>
    <rPh sb="19" eb="21">
      <t>ハッチュウ</t>
    </rPh>
    <phoneticPr fontId="4"/>
  </si>
  <si>
    <t>ユニークな発注IDを注文関数の引数としてセットします。</t>
    <rPh sb="5" eb="7">
      <t>ハッチュウ</t>
    </rPh>
    <rPh sb="10" eb="14">
      <t>チュウモンカンスウ</t>
    </rPh>
    <rPh sb="15" eb="17">
      <t>ヒキスウ</t>
    </rPh>
    <phoneticPr fontId="4"/>
  </si>
  <si>
    <t>発注トリガーに「0」をセットし、</t>
    <rPh sb="0" eb="2">
      <t>ハッチュウ</t>
    </rPh>
    <phoneticPr fontId="4"/>
  </si>
  <si>
    <t>注文関数の発注タイミングを管理します。発注トリガーが「0/False」の場合は発注待機、
「0/False」から「1/TRUE」に変化したときに、設定した注文条件で発注が行われます。</t>
    <rPh sb="0" eb="2">
      <t>チュウモン</t>
    </rPh>
    <rPh sb="2" eb="4">
      <t>カンスウ</t>
    </rPh>
    <rPh sb="5" eb="7">
      <t>ハッチュウ</t>
    </rPh>
    <rPh sb="13" eb="15">
      <t>カンリ</t>
    </rPh>
    <rPh sb="19" eb="21">
      <t>ハッチュウ</t>
    </rPh>
    <rPh sb="36" eb="38">
      <t>バアイ</t>
    </rPh>
    <rPh sb="39" eb="43">
      <t>ハッチュウタイキ</t>
    </rPh>
    <rPh sb="65" eb="67">
      <t>ヘンカ</t>
    </rPh>
    <rPh sb="73" eb="75">
      <t>セッテイ</t>
    </rPh>
    <rPh sb="77" eb="79">
      <t>チュウモン</t>
    </rPh>
    <rPh sb="79" eb="81">
      <t>ジョウケン</t>
    </rPh>
    <rPh sb="82" eb="84">
      <t>ハッチュウ</t>
    </rPh>
    <rPh sb="85" eb="86">
      <t>オコナ</t>
    </rPh>
    <phoneticPr fontId="4"/>
  </si>
  <si>
    <t>同一注文の多重発注を防止するため、ユニークな発注IDを使って注文管理をしています。
1度利用した発注IDは利用できないので、発注IDセットボタンで新しいIDをセットしてください。</t>
    <rPh sb="0" eb="4">
      <t>ドウイツチュウモン</t>
    </rPh>
    <rPh sb="5" eb="9">
      <t>タジュウハッチュウ</t>
    </rPh>
    <rPh sb="10" eb="12">
      <t>ボウシ</t>
    </rPh>
    <rPh sb="22" eb="24">
      <t>ハッチュウ</t>
    </rPh>
    <rPh sb="27" eb="28">
      <t>ツカ</t>
    </rPh>
    <rPh sb="30" eb="32">
      <t>チュウモン</t>
    </rPh>
    <rPh sb="32" eb="34">
      <t>カンリ</t>
    </rPh>
    <rPh sb="43" eb="46">
      <t>ドリヨウ</t>
    </rPh>
    <rPh sb="48" eb="50">
      <t>ハッチュウ</t>
    </rPh>
    <rPh sb="53" eb="55">
      <t>リヨウ</t>
    </rPh>
    <rPh sb="62" eb="64">
      <t>ハッチュウ</t>
    </rPh>
    <rPh sb="73" eb="74">
      <t>アタラ</t>
    </rPh>
    <phoneticPr fontId="4"/>
  </si>
  <si>
    <t>説明</t>
    <rPh sb="0" eb="2">
      <t>セツメイ</t>
    </rPh>
    <phoneticPr fontId="4"/>
  </si>
  <si>
    <t>※現物取引・信用取引・先物OP取引の注文関数共通の引数</t>
    <rPh sb="1" eb="3">
      <t>ゲンブツ</t>
    </rPh>
    <rPh sb="3" eb="5">
      <t>トリヒキ</t>
    </rPh>
    <rPh sb="6" eb="8">
      <t>シンヨウ</t>
    </rPh>
    <rPh sb="8" eb="10">
      <t>トリヒキ</t>
    </rPh>
    <rPh sb="11" eb="13">
      <t>サキモノ</t>
    </rPh>
    <rPh sb="15" eb="17">
      <t>トリヒキ</t>
    </rPh>
    <rPh sb="18" eb="20">
      <t>チュウモン</t>
    </rPh>
    <rPh sb="20" eb="22">
      <t>カンスウ</t>
    </rPh>
    <rPh sb="22" eb="24">
      <t>キョウツウ</t>
    </rPh>
    <rPh sb="25" eb="27">
      <t>ヒキスウ</t>
    </rPh>
    <phoneticPr fontId="4"/>
  </si>
  <si>
    <t>マーケットスピード II のRSSでは注文関数を利用し、注文条件を引数として指定して注文を発注いたします。</t>
    <rPh sb="19" eb="21">
      <t>チュウモン</t>
    </rPh>
    <rPh sb="21" eb="23">
      <t>カンスウ</t>
    </rPh>
    <rPh sb="24" eb="26">
      <t>リヨウ</t>
    </rPh>
    <rPh sb="28" eb="32">
      <t>チュウモンジョウケン</t>
    </rPh>
    <rPh sb="33" eb="35">
      <t>ヒキスウ</t>
    </rPh>
    <rPh sb="38" eb="40">
      <t>シテイ</t>
    </rPh>
    <rPh sb="42" eb="44">
      <t>チュウモン</t>
    </rPh>
    <rPh sb="45" eb="47">
      <t>ハッチュウ</t>
    </rPh>
    <phoneticPr fontId="4"/>
  </si>
  <si>
    <t>サンプルシートの発注方法について</t>
    <rPh sb="8" eb="10">
      <t>ハッチュウ</t>
    </rPh>
    <rPh sb="10" eb="12">
      <t>ホウホウ</t>
    </rPh>
    <phoneticPr fontId="4"/>
  </si>
  <si>
    <t>サンプルシート利用時の注意事項</t>
    <rPh sb="7" eb="10">
      <t>リヨウジ</t>
    </rPh>
    <rPh sb="11" eb="15">
      <t>チュウイジコウ</t>
    </rPh>
    <phoneticPr fontId="4"/>
  </si>
  <si>
    <t>3.</t>
  </si>
  <si>
    <t>2.</t>
  </si>
  <si>
    <t>1.</t>
    <phoneticPr fontId="4"/>
  </si>
  <si>
    <t>目次</t>
    <rPh sb="0" eb="2">
      <t>モクジ</t>
    </rPh>
    <phoneticPr fontId="4"/>
  </si>
  <si>
    <t>国内株-先物OP発注サンプル</t>
    <phoneticPr fontId="4"/>
  </si>
  <si>
    <t>時刻</t>
    <rPh sb="0" eb="2">
      <t>ジコク</t>
    </rPh>
    <phoneticPr fontId="4"/>
  </si>
  <si>
    <t>前SQ</t>
    <phoneticPr fontId="4"/>
  </si>
  <si>
    <t>注文条件入力セル ： この色のセルに注文条件を入力</t>
    <rPh sb="0" eb="2">
      <t>チュウモン</t>
    </rPh>
    <rPh sb="2" eb="4">
      <t>ジョウケン</t>
    </rPh>
    <rPh sb="4" eb="6">
      <t>ニュウリョク</t>
    </rPh>
    <rPh sb="13" eb="14">
      <t>イロ</t>
    </rPh>
    <rPh sb="18" eb="20">
      <t>チュウモン</t>
    </rPh>
    <rPh sb="20" eb="22">
      <t>ジョウケン</t>
    </rPh>
    <rPh sb="23" eb="25">
      <t>ニュウリョク</t>
    </rPh>
    <phoneticPr fontId="4"/>
  </si>
  <si>
    <t>本サンプルシートでの注文条件入力欄は、以下のように準備されています。</t>
    <rPh sb="0" eb="1">
      <t>ホン</t>
    </rPh>
    <rPh sb="10" eb="14">
      <t>チュウモンジョウケン</t>
    </rPh>
    <rPh sb="14" eb="16">
      <t>ニュウリョク</t>
    </rPh>
    <rPh sb="16" eb="17">
      <t>ラン</t>
    </rPh>
    <rPh sb="19" eb="21">
      <t>イカ</t>
    </rPh>
    <rPh sb="25" eb="27">
      <t>ジュンビ</t>
    </rPh>
    <phoneticPr fontId="4"/>
  </si>
  <si>
    <t>入力不要セル 　　　： この色のセルは入力が必要無いセルなので入力があった場合は削除してください</t>
    <rPh sb="0" eb="2">
      <t>ニュウリョク</t>
    </rPh>
    <rPh sb="2" eb="4">
      <t>フヨウ</t>
    </rPh>
    <rPh sb="14" eb="15">
      <t>イロ</t>
    </rPh>
    <rPh sb="19" eb="21">
      <t>ニュウリョク</t>
    </rPh>
    <rPh sb="22" eb="25">
      <t>ヒツヨウナ</t>
    </rPh>
    <rPh sb="31" eb="33">
      <t>ニュウリョク</t>
    </rPh>
    <rPh sb="37" eb="39">
      <t>バアイ</t>
    </rPh>
    <rPh sb="40" eb="42">
      <t>サクジョ</t>
    </rPh>
    <phoneticPr fontId="4"/>
  </si>
  <si>
    <t>　　　　　※チャート情報の足種と表示本数の変更が可能です。</t>
    <rPh sb="10" eb="12">
      <t>ジョウホウ</t>
    </rPh>
    <rPh sb="13" eb="15">
      <t>アシシュ</t>
    </rPh>
    <rPh sb="16" eb="20">
      <t>ヒョウジホンスウ</t>
    </rPh>
    <rPh sb="21" eb="23">
      <t>ヘンコウ</t>
    </rPh>
    <rPh sb="24" eb="26">
      <t>カノウ</t>
    </rPh>
    <phoneticPr fontId="4"/>
  </si>
  <si>
    <t>本サンプルシートでは、以下の引数についてはボタンを用意し簡易的に設定可能としています。</t>
    <rPh sb="0" eb="1">
      <t>ホン</t>
    </rPh>
    <rPh sb="11" eb="13">
      <t>イカ</t>
    </rPh>
    <rPh sb="14" eb="16">
      <t>ヒキスウ</t>
    </rPh>
    <rPh sb="25" eb="27">
      <t>ヨウイ</t>
    </rPh>
    <rPh sb="28" eb="31">
      <t>カンイテキ</t>
    </rPh>
    <rPh sb="32" eb="34">
      <t>セッテイ</t>
    </rPh>
    <rPh sb="34" eb="36">
      <t>カノウ</t>
    </rPh>
    <phoneticPr fontId="4"/>
  </si>
  <si>
    <t>指定した銘柄コードの基本情報・板情報・歩み値、また余力・保証金率を表示。</t>
    <rPh sb="0" eb="2">
      <t>シテイ</t>
    </rPh>
    <rPh sb="4" eb="6">
      <t>メイガラ</t>
    </rPh>
    <rPh sb="10" eb="14">
      <t>キホンジョウホウ</t>
    </rPh>
    <rPh sb="15" eb="18">
      <t>イタジョウホウ</t>
    </rPh>
    <rPh sb="19" eb="20">
      <t>アユ</t>
    </rPh>
    <rPh sb="21" eb="22">
      <t>ネ</t>
    </rPh>
    <rPh sb="25" eb="27">
      <t>ヨリョク</t>
    </rPh>
    <rPh sb="28" eb="32">
      <t>ホショウキンリツ</t>
    </rPh>
    <rPh sb="33" eb="35">
      <t>ヒョウジ</t>
    </rPh>
    <phoneticPr fontId="4"/>
  </si>
  <si>
    <t>指定した銘柄コードの基本情報・チャート情報、また余力・保証金率を表示。</t>
    <rPh sb="0" eb="2">
      <t>シテイ</t>
    </rPh>
    <rPh sb="4" eb="6">
      <t>メイガラ</t>
    </rPh>
    <rPh sb="10" eb="12">
      <t>キホン</t>
    </rPh>
    <rPh sb="12" eb="14">
      <t>ジョウホウ</t>
    </rPh>
    <rPh sb="19" eb="21">
      <t>ジョウホウ</t>
    </rPh>
    <phoneticPr fontId="4"/>
  </si>
  <si>
    <t>先物OP・商品先物から指定した銘柄コードの基本情報・板情報・歩み値、また、先物OPの余力情報を表示。</t>
    <rPh sb="0" eb="2">
      <t>サキモノ</t>
    </rPh>
    <rPh sb="5" eb="9">
      <t>ショウヒンサキモノ</t>
    </rPh>
    <rPh sb="11" eb="13">
      <t>シテイ</t>
    </rPh>
    <rPh sb="15" eb="17">
      <t>メイガラ</t>
    </rPh>
    <rPh sb="21" eb="23">
      <t>キホン</t>
    </rPh>
    <rPh sb="23" eb="25">
      <t>ジョウホウ</t>
    </rPh>
    <rPh sb="26" eb="29">
      <t>イタジョウホウ</t>
    </rPh>
    <rPh sb="30" eb="31">
      <t>アユ</t>
    </rPh>
    <rPh sb="32" eb="33">
      <t>ネ</t>
    </rPh>
    <rPh sb="37" eb="39">
      <t>サキモノ</t>
    </rPh>
    <rPh sb="42" eb="44">
      <t>ヨリョク</t>
    </rPh>
    <rPh sb="44" eb="46">
      <t>ジョウホウ</t>
    </rPh>
    <rPh sb="47" eb="49">
      <t>ヒョウジ</t>
    </rPh>
    <phoneticPr fontId="4"/>
  </si>
  <si>
    <t>現物売買/信用新規の注文をすることができるサンプルシート。</t>
    <rPh sb="0" eb="2">
      <t>ゲンブツ</t>
    </rPh>
    <rPh sb="2" eb="4">
      <t>バイバイ</t>
    </rPh>
    <rPh sb="5" eb="9">
      <t>シンヨウシンキ</t>
    </rPh>
    <phoneticPr fontId="4"/>
  </si>
  <si>
    <t>先物OP・商品先物の新規注文をすることができるサンプルシート。</t>
    <phoneticPr fontId="4"/>
  </si>
  <si>
    <t>・</t>
    <phoneticPr fontId="4"/>
  </si>
  <si>
    <t>各サンプルシートにある『発注ボタン』『発注IDセットボタン』や関数については、行の追加・削除など、</t>
  </si>
  <si>
    <t>セルの参照位置が変わるような操作をすると、利用できなくなりますのでご了承ください。</t>
  </si>
  <si>
    <t>本サンプルシート利用時は、他のExcelファイルからのRSS関数による発注をした場合、</t>
    <rPh sb="40" eb="42">
      <t>バアイ</t>
    </rPh>
    <phoneticPr fontId="4"/>
  </si>
  <si>
    <t>発注IDが重複すると発注されないのでご了承ください。</t>
    <rPh sb="5" eb="7">
      <t>チョウフク</t>
    </rPh>
    <rPh sb="10" eb="12">
      <t>ハッチュウ</t>
    </rPh>
    <rPh sb="19" eb="21">
      <t>リョウショウ</t>
    </rPh>
    <phoneticPr fontId="4"/>
  </si>
  <si>
    <t>発注トリガーが「1/TRUE」の状態で発注機能を『発注可』に変更した際、注文は発注されます。</t>
    <rPh sb="36" eb="38">
      <t>チュウモン</t>
    </rPh>
    <rPh sb="39" eb="41">
      <t>ハッチュウ</t>
    </rPh>
    <phoneticPr fontId="4"/>
  </si>
  <si>
    <t>発注機能利用時は、発注トリガーが「0/False」となっていることを確認してご利用ください。</t>
    <rPh sb="0" eb="2">
      <t>ハッチュウ</t>
    </rPh>
    <rPh sb="2" eb="4">
      <t>キノウ</t>
    </rPh>
    <rPh sb="4" eb="7">
      <t>リヨウジ</t>
    </rPh>
    <phoneticPr fontId="4"/>
  </si>
  <si>
    <t>以下の引数と注文条件がすべて入力された状態で、発注ボタンをクリックすると設定された条件で発注ができます。</t>
    <rPh sb="0" eb="2">
      <t>イカ</t>
    </rPh>
    <rPh sb="3" eb="5">
      <t>ヒキスウ</t>
    </rPh>
    <rPh sb="6" eb="10">
      <t>チュウモンジョウケン</t>
    </rPh>
    <rPh sb="14" eb="16">
      <t>ニュウリョク</t>
    </rPh>
    <rPh sb="19" eb="21">
      <t>ジョウタイ</t>
    </rPh>
    <rPh sb="36" eb="38">
      <t>セッテイ</t>
    </rPh>
    <rPh sb="41" eb="43">
      <t>ジョウケン</t>
    </rPh>
    <phoneticPr fontId="4"/>
  </si>
  <si>
    <t>!! 注意　</t>
    <rPh sb="3" eb="5">
      <t>チュウイ</t>
    </rPh>
    <phoneticPr fontId="4"/>
  </si>
  <si>
    <t>「発注IDセットボタン」を使用する場合、このシートの更新や削除を行わないでください。</t>
    <rPh sb="1" eb="3">
      <t>ハッチュウ</t>
    </rPh>
    <rPh sb="13" eb="15">
      <t>シヨウ</t>
    </rPh>
    <rPh sb="17" eb="19">
      <t>バアイ</t>
    </rPh>
    <rPh sb="26" eb="28">
      <t>コウシン</t>
    </rPh>
    <rPh sb="29" eb="31">
      <t>サクジョ</t>
    </rPh>
    <rPh sb="32" eb="33">
      <t>オコナ</t>
    </rPh>
    <phoneticPr fontId="4"/>
  </si>
  <si>
    <t>このシートが更新されたり削除されたりすると「発注IDセットボタン」が動作しなくなります。</t>
    <rPh sb="6" eb="8">
      <t>コウシン</t>
    </rPh>
    <rPh sb="12" eb="14">
      <t>サクジョ</t>
    </rPh>
    <phoneticPr fontId="4"/>
  </si>
  <si>
    <t>発注ID</t>
  </si>
  <si>
    <t>関数名</t>
  </si>
  <si>
    <t>発注日</t>
  </si>
  <si>
    <t>発注時刻</t>
  </si>
  <si>
    <t>注文番号</t>
  </si>
  <si>
    <t>発注結果</t>
  </si>
  <si>
    <t>1：本日中　2：今週中　3：寄付　4：引け　5：期間指定　6：大引不成   7：不成</t>
    <phoneticPr fontId="4"/>
  </si>
  <si>
    <t>1：本日中　2：今週中　3：寄付　4：引け　5：期間指定　6：大引不成   7：不成　(セット注文区分が「1：セット注文(予約する)」の場合、必須。)</t>
    <phoneticPr fontId="4"/>
  </si>
  <si>
    <t>1：本日中　2：今週中　3：寄付　4：引け　5：期間指定　6：大引不成   7：不成</t>
    <phoneticPr fontId="4"/>
  </si>
  <si>
    <t>1：本日中　2：今週中　3：寄付　4：引け　5：期間指定　6：大引不成   7：不成　(セット注文区分が「1：セット注文(予約する)」の場合、必須。)</t>
    <phoneticPr fontId="4"/>
  </si>
  <si>
    <t>N225F：日経225先物、 N225MF：日経225先物ミニ、 MOTF：東証マザーズ先物、 N225OP：日経225オプション、 TOPXF：TOPIX先物、 JN400F：JPX日経400先物、
GOLDF：金、 GOLDMINIF：金ミニ、 GOLDSPOTF：金スポット、 PLATINUMF：白金、 PLATINUMMINIF：白金ミニ、 PLATINUMSPOTF：白金スポット、 SILVERF：銀、 PALLADIUMF：パラジウム、 RSS3F：ゴム(RSS3)、 TSR20F：ゴム(TSR20)、 REDBEANF：小豆、 SOYBEANF：一般大豆、 CORNF：とうもろこし</t>
    <phoneticPr fontId="4"/>
  </si>
  <si>
    <t>オンラインヘルプ　TOP</t>
    <phoneticPr fontId="4"/>
  </si>
  <si>
    <t>使用済最大発注ID</t>
    <phoneticPr fontId="4"/>
  </si>
  <si>
    <t>--------</t>
    <phoneticPr fontId="4"/>
  </si>
  <si>
    <t>--------</t>
    <phoneticPr fontId="4"/>
  </si>
  <si>
    <t>売買代金(千円)</t>
    <rPh sb="0" eb="4">
      <t>バイバイダイキン</t>
    </rPh>
    <rPh sb="5" eb="7">
      <t>センエン</t>
    </rPh>
    <phoneticPr fontId="4"/>
  </si>
  <si>
    <t>時価総額(百万円)</t>
    <rPh sb="0" eb="4">
      <t>ジカソウガク</t>
    </rPh>
    <rPh sb="5" eb="7">
      <t>ヒャクマン</t>
    </rPh>
    <rPh sb="7" eb="8">
      <t>エン</t>
    </rPh>
    <phoneticPr fontId="4"/>
  </si>
  <si>
    <t>時価総額(百万円)</t>
    <phoneticPr fontId="4"/>
  </si>
  <si>
    <t>IV</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</si>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</sst>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Red]\-#,##0.0000"/>
  </numFmts>
  <fonts count="2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Meiryo UI"/>
      <family val="3"/>
      <charset val="128"/>
    </font>
    <font>
      <sz val="6"/>
      <name val="游ゴシック"/>
      <family val="2"/>
      <charset val="128"/>
      <scheme val="minor"/>
    </font>
    <font>
      <sz val="10"/>
      <color theme="1"/>
      <name val="Meiryo UI"/>
      <family val="3"/>
      <charset val="128"/>
    </font>
    <font>
      <b/>
      <sz val="10"/>
      <color theme="1"/>
      <name val="Meiryo UI"/>
      <family val="3"/>
      <charset val="128"/>
    </font>
    <font>
      <b/>
      <sz val="11"/>
      <color theme="1"/>
      <name val="Meiryo UI"/>
      <family val="3"/>
      <charset val="128"/>
    </font>
    <font>
      <sz val="13"/>
      <color theme="1"/>
      <name val="Meiryo UI"/>
      <family val="3"/>
      <charset val="128"/>
    </font>
    <font>
      <b/>
      <sz val="11"/>
      <color indexed="81"/>
      <name val="MS P ゴシック"/>
      <family val="3"/>
      <charset val="128"/>
    </font>
    <font>
      <sz val="10"/>
      <name val="Meiryo UI"/>
      <family val="3"/>
      <charset val="128"/>
    </font>
    <font>
      <sz val="9"/>
      <name val="ＭＳ Ｐゴシック"/>
      <family val="3"/>
      <charset val="128"/>
    </font>
    <font>
      <sz val="6"/>
      <name val="Meiryo UI"/>
      <family val="2"/>
      <charset val="128"/>
    </font>
    <font>
      <sz val="12"/>
      <color theme="1"/>
      <name val="Meiryo UI"/>
      <family val="3"/>
      <charset val="128"/>
    </font>
    <font>
      <u/>
      <sz val="9"/>
      <color indexed="12"/>
      <name val="ＭＳ Ｐゴシック"/>
      <family val="3"/>
      <charset val="128"/>
    </font>
    <font>
      <u/>
      <sz val="12"/>
      <color indexed="12"/>
      <name val="Meiryo UI"/>
      <family val="3"/>
      <charset val="128"/>
    </font>
    <font>
      <u/>
      <sz val="12"/>
      <color theme="8"/>
      <name val="Meiryo UI"/>
      <family val="3"/>
      <charset val="128"/>
    </font>
    <font>
      <b/>
      <sz val="12"/>
      <color theme="1"/>
      <name val="Meiryo UI"/>
      <family val="3"/>
      <charset val="128"/>
    </font>
    <font>
      <sz val="12"/>
      <color rgb="FFFF0000"/>
      <name val="Meiryo UI"/>
      <family val="3"/>
      <charset val="128"/>
    </font>
    <font>
      <b/>
      <sz val="14"/>
      <color theme="1"/>
      <name val="Meiryo UI"/>
      <family val="3"/>
      <charset val="128"/>
    </font>
    <font>
      <sz val="11"/>
      <color rgb="FFFF0000"/>
      <name val="游ゴシック"/>
      <family val="2"/>
      <charset val="128"/>
      <scheme val="minor"/>
    </font>
    <font>
      <sz val="11"/>
      <color rgb="FFFF0000"/>
      <name val="游ゴシック"/>
      <family val="3"/>
      <charset val="128"/>
      <scheme val="minor"/>
    </font>
    <font>
      <sz val="11"/>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xf numFmtId="0" fontId="14" fillId="0" borderId="0" applyNumberFormat="0" applyFill="0" applyBorder="0" applyAlignment="0" applyProtection="0">
      <alignment vertical="top"/>
      <protection locked="0"/>
    </xf>
  </cellStyleXfs>
  <cellXfs count="114">
    <xf numFmtId="0" fontId="0" fillId="0" borderId="0" xfId="0">
      <alignment vertical="center"/>
    </xf>
    <xf numFmtId="0" fontId="3" fillId="0" borderId="0" xfId="0" applyFont="1">
      <alignment vertical="center"/>
    </xf>
    <xf numFmtId="0" fontId="3" fillId="0" borderId="0" xfId="0" quotePrefix="1" applyFont="1">
      <alignment vertical="center"/>
    </xf>
    <xf numFmtId="0" fontId="5" fillId="0" borderId="1" xfId="0" applyFont="1" applyBorder="1" applyAlignment="1"/>
    <xf numFmtId="0" fontId="5" fillId="0" borderId="1" xfId="0" applyFont="1" applyFill="1" applyBorder="1" applyAlignment="1"/>
    <xf numFmtId="0" fontId="3" fillId="0" borderId="1" xfId="0" applyFont="1" applyBorder="1">
      <alignment vertical="center"/>
    </xf>
    <xf numFmtId="0" fontId="5" fillId="0" borderId="1" xfId="0" applyFont="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Border="1">
      <alignment vertical="center"/>
    </xf>
    <xf numFmtId="0" fontId="3" fillId="0" borderId="1" xfId="0" applyFont="1" applyBorder="1" applyAlignment="1">
      <alignment horizontal="right" vertical="center"/>
    </xf>
    <xf numFmtId="0" fontId="5" fillId="2" borderId="1" xfId="0" applyFont="1" applyFill="1" applyBorder="1" applyAlignment="1">
      <alignment horizontal="center" vertical="center"/>
    </xf>
    <xf numFmtId="0" fontId="5" fillId="3" borderId="1" xfId="0" applyFont="1" applyFill="1" applyBorder="1">
      <alignment vertical="center"/>
    </xf>
    <xf numFmtId="0" fontId="3" fillId="0" borderId="1" xfId="0" applyFont="1" applyBorder="1" applyAlignment="1">
      <alignment horizontal="center" vertical="center"/>
    </xf>
    <xf numFmtId="0" fontId="5" fillId="4" borderId="1" xfId="0" applyFont="1" applyFill="1" applyBorder="1">
      <alignment vertical="center"/>
    </xf>
    <xf numFmtId="0" fontId="6"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0" xfId="0" quotePrefix="1" applyFont="1">
      <alignment vertical="center"/>
    </xf>
    <xf numFmtId="0" fontId="5" fillId="0" borderId="0" xfId="0" applyFont="1">
      <alignment vertical="center"/>
    </xf>
    <xf numFmtId="0" fontId="5" fillId="5" borderId="3"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5" fillId="0" borderId="1" xfId="0" applyFont="1" applyBorder="1" applyAlignment="1">
      <alignment vertical="center"/>
    </xf>
    <xf numFmtId="0" fontId="5" fillId="4" borderId="3" xfId="0" applyFont="1" applyFill="1" applyBorder="1" applyAlignment="1">
      <alignment horizontal="center" vertical="center"/>
    </xf>
    <xf numFmtId="0" fontId="6" fillId="0" borderId="0" xfId="0" applyFont="1" applyBorder="1">
      <alignment vertical="center"/>
    </xf>
    <xf numFmtId="0" fontId="5" fillId="0" borderId="0" xfId="0" quotePrefix="1" applyFont="1" applyBorder="1" applyAlignment="1">
      <alignment vertical="center"/>
    </xf>
    <xf numFmtId="0" fontId="5" fillId="0" borderId="0" xfId="0" applyFont="1" applyBorder="1">
      <alignment vertical="center"/>
    </xf>
    <xf numFmtId="0" fontId="7" fillId="0" borderId="0" xfId="0" applyFont="1">
      <alignment vertical="center"/>
    </xf>
    <xf numFmtId="38" fontId="3" fillId="0" borderId="1" xfId="1" applyFont="1" applyBorder="1">
      <alignment vertical="center"/>
    </xf>
    <xf numFmtId="0" fontId="8" fillId="0" borderId="0" xfId="0" applyFont="1">
      <alignment vertical="center"/>
    </xf>
    <xf numFmtId="3" fontId="3" fillId="0" borderId="0" xfId="0" applyNumberFormat="1" applyFont="1">
      <alignment vertical="center"/>
    </xf>
    <xf numFmtId="14" fontId="3" fillId="0" borderId="0" xfId="0" applyNumberFormat="1" applyFont="1">
      <alignment vertical="center"/>
    </xf>
    <xf numFmtId="4" fontId="3" fillId="0" borderId="0" xfId="0" applyNumberFormat="1" applyFont="1">
      <alignment vertical="center"/>
    </xf>
    <xf numFmtId="4" fontId="3" fillId="0" borderId="1" xfId="0" quotePrefix="1" applyNumberFormat="1" applyFont="1" applyBorder="1">
      <alignment vertical="center"/>
    </xf>
    <xf numFmtId="3" fontId="3" fillId="0" borderId="1" xfId="0" quotePrefix="1" applyNumberFormat="1" applyFont="1" applyBorder="1">
      <alignment vertical="center"/>
    </xf>
    <xf numFmtId="14" fontId="3" fillId="0" borderId="1" xfId="0" quotePrefix="1" applyNumberFormat="1" applyFont="1" applyBorder="1">
      <alignment vertical="center"/>
    </xf>
    <xf numFmtId="0" fontId="3" fillId="0" borderId="1" xfId="0" quotePrefix="1" applyFont="1" applyBorder="1">
      <alignment vertical="center"/>
    </xf>
    <xf numFmtId="14" fontId="3" fillId="0" borderId="1" xfId="0" applyNumberFormat="1" applyFont="1" applyBorder="1">
      <alignment vertical="center"/>
    </xf>
    <xf numFmtId="0" fontId="3" fillId="0" borderId="1" xfId="0" applyFont="1" applyBorder="1" applyAlignment="1">
      <alignment vertical="center"/>
    </xf>
    <xf numFmtId="0" fontId="3" fillId="0" borderId="1" xfId="0" applyFont="1" applyFill="1" applyBorder="1">
      <alignment vertical="center"/>
    </xf>
    <xf numFmtId="0" fontId="3" fillId="0" borderId="0" xfId="0" applyFont="1" applyBorder="1" applyAlignment="1">
      <alignment vertical="center"/>
    </xf>
    <xf numFmtId="0" fontId="3" fillId="2" borderId="0" xfId="0" applyFont="1" applyFill="1" applyAlignment="1">
      <alignment horizontal="center" vertical="center"/>
    </xf>
    <xf numFmtId="0" fontId="5" fillId="0" borderId="1" xfId="0" applyFont="1" applyFill="1" applyBorder="1">
      <alignment vertical="center"/>
    </xf>
    <xf numFmtId="0" fontId="3" fillId="0" borderId="1" xfId="0" applyFont="1" applyBorder="1" applyAlignment="1">
      <alignment horizontal="left" vertical="center"/>
    </xf>
    <xf numFmtId="0" fontId="5" fillId="0" borderId="0" xfId="3" applyFont="1" applyBorder="1" applyAlignment="1">
      <alignment horizontal="left" vertical="center"/>
    </xf>
    <xf numFmtId="0" fontId="5" fillId="0" borderId="1" xfId="3" applyFont="1" applyBorder="1" applyAlignment="1">
      <alignment horizontal="left" vertical="center"/>
    </xf>
    <xf numFmtId="0" fontId="3" fillId="3" borderId="1" xfId="0" applyFont="1" applyFill="1" applyBorder="1">
      <alignment vertical="center"/>
    </xf>
    <xf numFmtId="0" fontId="3" fillId="0" borderId="1" xfId="0" applyFont="1" applyFill="1" applyBorder="1" applyAlignment="1">
      <alignment horizontal="left" vertical="center"/>
    </xf>
    <xf numFmtId="0" fontId="3" fillId="4" borderId="1" xfId="0" applyFont="1" applyFill="1" applyBorder="1">
      <alignment vertical="center"/>
    </xf>
    <xf numFmtId="0" fontId="13" fillId="0" borderId="0" xfId="0" applyFont="1" applyBorder="1">
      <alignment vertical="center"/>
    </xf>
    <xf numFmtId="0" fontId="13"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5" fillId="0" borderId="0" xfId="4" applyFont="1" applyBorder="1" applyAlignment="1" applyProtection="1">
      <alignment vertical="center" wrapText="1"/>
    </xf>
    <xf numFmtId="0" fontId="16" fillId="0" borderId="0" xfId="0" applyFont="1" applyBorder="1">
      <alignment vertical="center"/>
    </xf>
    <xf numFmtId="49" fontId="13" fillId="0" borderId="0" xfId="0" applyNumberFormat="1" applyFont="1" applyBorder="1" applyAlignment="1">
      <alignment horizontal="right" vertical="center"/>
    </xf>
    <xf numFmtId="0" fontId="17" fillId="0" borderId="0" xfId="0" applyFont="1" applyBorder="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8" fillId="0" borderId="0" xfId="0" applyFont="1" applyBorder="1" applyAlignment="1">
      <alignment vertical="center"/>
    </xf>
    <xf numFmtId="49" fontId="13" fillId="0" borderId="0" xfId="0" applyNumberFormat="1" applyFont="1" applyBorder="1" applyAlignment="1">
      <alignment vertical="center"/>
    </xf>
    <xf numFmtId="0" fontId="18" fillId="0" borderId="0" xfId="0" applyFont="1" applyBorder="1">
      <alignment vertical="center"/>
    </xf>
    <xf numFmtId="0" fontId="5" fillId="0" borderId="0" xfId="0" applyFont="1" applyBorder="1" applyAlignment="1">
      <alignment vertical="center" wrapText="1"/>
    </xf>
    <xf numFmtId="49" fontId="13" fillId="0" borderId="0" xfId="0" applyNumberFormat="1" applyFont="1" applyBorder="1" applyAlignment="1">
      <alignment horizontal="left" vertical="center"/>
    </xf>
    <xf numFmtId="0" fontId="19" fillId="0" borderId="0" xfId="0" applyFont="1" applyBorder="1">
      <alignment vertical="center"/>
    </xf>
    <xf numFmtId="0" fontId="15" fillId="0" borderId="0" xfId="4" applyFont="1" applyBorder="1" applyAlignment="1" applyProtection="1">
      <alignment vertical="center"/>
    </xf>
    <xf numFmtId="0" fontId="13" fillId="0" borderId="0" xfId="0" quotePrefix="1" applyNumberFormat="1" applyFont="1" applyBorder="1" applyAlignment="1">
      <alignment horizontal="right" vertical="center"/>
    </xf>
    <xf numFmtId="0" fontId="5" fillId="0" borderId="1" xfId="0" applyFont="1" applyBorder="1" applyAlignment="1">
      <alignment horizontal="lef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6" borderId="1" xfId="0" applyFont="1" applyFill="1" applyBorder="1">
      <alignment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20" fillId="0" borderId="0" xfId="0" applyFont="1">
      <alignment vertical="center"/>
    </xf>
    <xf numFmtId="0" fontId="21" fillId="0" borderId="0" xfId="0" applyFont="1">
      <alignment vertical="center"/>
    </xf>
    <xf numFmtId="0" fontId="0" fillId="0" borderId="0" xfId="0" quotePrefix="1">
      <alignment vertical="center"/>
    </xf>
    <xf numFmtId="0" fontId="5" fillId="0" borderId="1" xfId="0" applyFont="1" applyBorder="1" applyAlignment="1">
      <alignment horizontal="center" vertical="center"/>
    </xf>
    <xf numFmtId="38" fontId="3" fillId="0" borderId="1" xfId="1" quotePrefix="1" applyFont="1" applyBorder="1">
      <alignment vertical="center"/>
    </xf>
    <xf numFmtId="0" fontId="22" fillId="0" borderId="0" xfId="0" applyFont="1">
      <alignment vertical="center"/>
    </xf>
    <xf numFmtId="0" fontId="3" fillId="0" borderId="1" xfId="0" applyFont="1" applyBorder="1" applyAlignment="1">
      <alignment horizontal="center" vertical="center"/>
    </xf>
    <xf numFmtId="10" fontId="3" fillId="0" borderId="1" xfId="2" applyNumberFormat="1" applyFont="1" applyBorder="1" applyAlignment="1">
      <alignment horizontal="right" vertical="center"/>
    </xf>
    <xf numFmtId="38" fontId="3" fillId="0" borderId="1" xfId="1" applyFont="1" applyBorder="1" applyAlignment="1">
      <alignment horizontal="right" vertical="center"/>
    </xf>
    <xf numFmtId="10" fontId="3" fillId="0" borderId="1" xfId="2" applyNumberFormat="1" applyFont="1" applyBorder="1" applyAlignment="1">
      <alignment vertical="center"/>
    </xf>
    <xf numFmtId="40" fontId="3" fillId="0" borderId="1" xfId="1" applyNumberFormat="1" applyFont="1" applyBorder="1" applyAlignment="1">
      <alignment horizontal="right" vertical="center"/>
    </xf>
    <xf numFmtId="176" fontId="3" fillId="0" borderId="1" xfId="1" applyNumberFormat="1" applyFont="1" applyBorder="1" applyAlignment="1">
      <alignment horizontal="right" vertical="center"/>
    </xf>
    <xf numFmtId="40" fontId="3" fillId="0" borderId="1" xfId="1" applyNumberFormat="1" applyFont="1" applyBorder="1">
      <alignment vertical="center"/>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4" borderId="2"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xf>
    <xf numFmtId="0" fontId="3" fillId="2"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10" fillId="0" borderId="2" xfId="0" applyFont="1" applyBorder="1" applyAlignment="1">
      <alignment horizontal="left" vertical="center" wrapText="1"/>
    </xf>
    <xf numFmtId="0" fontId="13" fillId="0" borderId="1" xfId="0" applyFont="1" applyBorder="1" applyAlignment="1">
      <alignment horizontal="center" vertical="center"/>
    </xf>
    <xf numFmtId="0" fontId="5" fillId="0" borderId="1" xfId="3" applyFont="1" applyBorder="1" applyAlignment="1">
      <alignment horizontal="left" vertical="center" wrapText="1"/>
    </xf>
    <xf numFmtId="0" fontId="3" fillId="0" borderId="1" xfId="0" applyFont="1" applyBorder="1" applyAlignment="1">
      <alignment horizontal="left" vertical="center" wrapText="1"/>
    </xf>
    <xf numFmtId="0" fontId="5" fillId="4" borderId="1" xfId="3" applyFont="1" applyFill="1" applyBorder="1" applyAlignment="1">
      <alignment horizontal="left" vertical="center" wrapText="1"/>
    </xf>
    <xf numFmtId="0" fontId="3" fillId="4" borderId="1" xfId="0" applyFont="1" applyFill="1" applyBorder="1" applyAlignment="1">
      <alignment horizontal="left" vertical="center" wrapText="1"/>
    </xf>
  </cellXfs>
  <cellStyles count="5">
    <cellStyle name="パーセント" xfId="2" builtinId="5"/>
    <cellStyle name="ハイパーリンク" xfId="4" builtinId="8"/>
    <cellStyle name="桁区切り" xfId="1" builtinId="6"/>
    <cellStyle name="標準" xfId="0" builtinId="0"/>
    <cellStyle name="標準 2" xfId="3"/>
  </cellStyles>
  <dxfs count="2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rtdsrv.4299a44e1a4840de9eca6cc7aefeb08c">
      <tp t="s">
        <v/>
        <stp/>
        <stp>Market</stp>
        <stp>FOP</stp>
        <stp>ご指定の銘柄コードは存在しません。再入力してください。</stp>
        <stp>前日比</stp>
        <tr r="C11" s="3"/>
      </tp>
      <tp t="s">
        <v/>
        <stp/>
        <stp>Market</stp>
        <stp>FOP</stp>
        <stp>ご指定の銘柄コードは存在しません。再入力してください。</stp>
        <stp>始値時刻</stp>
        <tr r="D13" s="3"/>
      </tp>
      <tp t="s">
        <v/>
        <stp/>
        <stp>Market</stp>
        <stp>FOP</stp>
        <stp>ご指定の銘柄コードは存在しません。再入力してください。</stp>
        <stp>安値時刻</stp>
        <tr r="D15" s="3"/>
      </tp>
      <tp t="s">
        <v/>
        <stp/>
        <stp>Market</stp>
        <stp>FOP</stp>
        <stp>ご指定の銘柄コードは存在しません。再入力してください。</stp>
        <stp>高値時刻</stp>
        <tr r="D14" s="3"/>
      </tp>
    </main>
    <main first="rtdsrv.4299a44e1a4840de9eca6cc7aefeb08c">
      <tp t="s">
        <v/>
        <stp/>
        <stp>Market</stp>
        <stp>FOP</stp>
        <stp>ご指定の銘柄コードは存在しません。再入力してください。</stp>
        <stp>最良売気配数量10</stp>
        <tr r="F19" s="3"/>
      </tp>
    </main>
    <main first="rtdsrv.4299a44e1a4840de9eca6cc7aefeb08c">
      <tp t="s">
        <v/>
        <stp/>
        <stp>Market</stp>
        <stp>STOCK</stp>
        <stp/>
        <stp>OVER気配数量</stp>
        <tr r="F20" s="1"/>
      </tp>
      <tp t="s">
        <v/>
        <stp/>
        <stp>Market</stp>
        <stp>FOP</stp>
        <stp>ご指定の銘柄コードは存在しません。再入力してください。</stp>
        <stp>ベガ</stp>
        <tr r="H13" s="3"/>
      </tp>
      <tp t="s">
        <v/>
        <stp/>
        <stp>Market</stp>
        <stp>FOP</stp>
        <stp>ご指定の銘柄コードは存在しません。再入力してください。</stp>
        <stp>ロー</stp>
        <tr r="H15" s="3"/>
      </tp>
      <tp t="s">
        <v/>
        <stp/>
        <stp>Market</stp>
        <stp>STOCK</stp>
        <stp/>
        <stp>市場名称</stp>
        <tr r="E8" s="2"/>
        <tr r="E8" s="1"/>
      </tp>
      <tp t="s">
        <v/>
        <stp/>
        <stp>Market</stp>
        <stp>STOCK</stp>
        <stp/>
        <stp>UNDER気配数量</stp>
        <tr r="H41" s="1"/>
      </tp>
    </main>
    <main first="rtdsrv.4299a44e1a4840de9eca6cc7aefeb08c">
      <tp t="s">
        <v/>
        <stp/>
        <stp>Market</stp>
        <stp>STOCK</stp>
        <stp/>
        <stp>前日比</stp>
        <tr r="F10" s="2"/>
        <tr r="F10" s="1"/>
      </tp>
      <tp t="s">
        <v/>
        <stp/>
        <stp>FOPCapacityList</stp>
        <stp>401423248,12,12,15,15</stp>
        <tr r="P13" s="3"/>
      </tp>
      <tp t="s">
        <v/>
        <stp/>
        <stp>Market</stp>
        <stp>STOCK</stp>
        <stp/>
        <stp>安値</stp>
        <tr r="C15" s="1"/>
        <tr r="C15" s="2"/>
      </tp>
    </main>
    <main first="rtdsrv.4299a44e1a4840de9eca6cc7aefeb08c">
      <tp t="s">
        <v/>
        <stp/>
        <stp>Market</stp>
        <stp>STOCK</stp>
        <stp/>
        <stp>始値</stp>
        <tr r="C13" s="2"/>
        <tr r="C13" s="1"/>
      </tp>
    </main>
    <main first="rtdsrv.4299a44e1a4840de9eca6cc7aefeb08c">
      <tp t="s">
        <v/>
        <stp/>
        <stp>Market</stp>
        <stp>FOP</stp>
        <stp>ご指定の銘柄コードは存在しません。再入力してください。</stp>
        <stp>現在値時刻</stp>
        <tr r="D10" s="3"/>
      </tp>
      <tp t="s">
        <v/>
        <stp/>
        <stp>Market</stp>
        <stp>FOP</stp>
        <stp>ご指定の銘柄コードは存在しません。再入力してください。</stp>
        <stp>IV</stp>
        <tr r="H10" s="3"/>
      </tp>
    </main>
    <main first="rtdsrv.4299a44e1a4840de9eca6cc7aefeb08c">
      <tp t="s">
        <v/>
        <stp/>
        <stp>Market</stp>
        <stp>FOP</stp>
        <stp>ご指定の銘柄コードは存在しません。再入力してください。</stp>
        <stp>出来高加重平均</stp>
        <tr r="F12" s="3"/>
      </tp>
      <tp t="s">
        <v>ご指定の銘柄コードは存在しません。再入力してください。</v>
        <stp/>
        <stp>FOPCode</stp>
        <stp/>
        <stp/>
        <stp/>
        <stp/>
        <tr r="K12" s="3"/>
      </tp>
    </main>
    <main first="rtdsrv.4299a44e1a4840de9eca6cc7aefeb08c">
      <tp t="s">
        <v/>
        <stp/>
        <stp>Market</stp>
        <stp>STOCK</stp>
        <stp/>
        <stp>最良売気配数量10</stp>
        <tr r="F21" s="1"/>
      </tp>
    </main>
    <main first="rtdsrv.4299a44e1a4840de9eca6cc7aefeb08c">
      <tp t="s">
        <v/>
        <stp/>
        <stp>Market</stp>
        <stp>STOCK</stp>
        <stp/>
        <stp>出来高加重平均</stp>
        <tr r="H10" s="1"/>
        <tr r="H10" s="2"/>
      </tp>
    </main>
    <main first="rtdsrv.4299a44e1a4840de9eca6cc7aefeb08c">
      <tp t="s">
        <v/>
        <stp/>
        <stp>Market</stp>
        <stp>STOCK</stp>
        <stp/>
        <stp>安値時刻</stp>
        <tr r="D15" s="1"/>
        <tr r="D15" s="2"/>
      </tp>
      <tp t="s">
        <v/>
        <stp/>
        <stp>Market</stp>
        <stp>STOCK</stp>
        <stp/>
        <stp>始値時刻</stp>
        <tr r="D13" s="1"/>
        <tr r="D13" s="2"/>
      </tp>
      <tp t="s">
        <v/>
        <stp/>
        <stp>Market</stp>
        <stp>STOCK</stp>
        <stp/>
        <stp>高値時刻</stp>
        <tr r="D14" s="2"/>
        <tr r="D14" s="1"/>
      </tp>
    </main>
    <main first="rtdsrv.4299a44e1a4840de9eca6cc7aefeb08c">
      <tp t="s">
        <v/>
        <stp/>
        <stp>TickList</stp>
        <stp>401438048,16,16,1,1</stp>
        <stp/>
        <stp>20</stp>
        <tr r="B17" s="1"/>
      </tp>
    </main>
    <main first="rtdsrv.4299a44e1a4840de9eca6cc7aefeb08c">
      <tp t="s">
        <v/>
        <stp/>
        <stp>Market</stp>
        <stp>STOCK</stp>
        <stp/>
        <stp>現在値時刻</stp>
        <tr r="D10" s="2"/>
        <tr r="D10" s="1"/>
      </tp>
    </main>
    <main first="rtdsrv.4299a44e1a4840de9eca6cc7aefeb08c">
      <tp t="s">
        <v/>
        <stp/>
        <stp>Market</stp>
        <stp>STOCK</stp>
        <stp/>
        <stp>信用貸借区分</stp>
        <tr r="F8" s="1"/>
        <tr r="F8" s="1"/>
        <tr r="F8" s="2"/>
        <tr r="F8" s="2"/>
      </tp>
    </main>
    <main first="rtdsrv.4299a44e1a4840de9eca6cc7aefeb08c">
      <tp t="s">
        <v/>
        <stp/>
        <stp>Market</stp>
        <stp>FOP</stp>
        <stp>ご指定の銘柄コードは存在しません。再入力してください。</stp>
        <stp>最良買気配数量9</stp>
        <tr r="H37" s="3"/>
      </tp>
      <tp t="s">
        <v/>
        <stp/>
        <stp>Market</stp>
        <stp>FOP</stp>
        <stp>ご指定の銘柄コードは存在しません。再入力してください。</stp>
        <stp>最良買気配数量8</stp>
        <tr r="H36" s="3"/>
      </tp>
      <tp t="s">
        <v/>
        <stp/>
        <stp>Market</stp>
        <stp>FOP</stp>
        <stp>ご指定の銘柄コードは存在しません。再入力してください。</stp>
        <stp>最良買気配数量3</stp>
        <tr r="H31" s="3"/>
      </tp>
      <tp t="s">
        <v/>
        <stp/>
        <stp>Market</stp>
        <stp>FOP</stp>
        <stp>ご指定の銘柄コードは存在しません。再入力してください。</stp>
        <stp>最良買気配数量2</stp>
        <tr r="H30" s="3"/>
      </tp>
      <tp t="s">
        <v/>
        <stp/>
        <stp>Market</stp>
        <stp>FOP</stp>
        <stp>ご指定の銘柄コードは存在しません。再入力してください。</stp>
        <stp>最良買気配数量1</stp>
        <tr r="H29" s="3"/>
      </tp>
      <tp t="s">
        <v/>
        <stp/>
        <stp>Market</stp>
        <stp>FOP</stp>
        <stp>ご指定の銘柄コードは存在しません。再入力してください。</stp>
        <stp>最良買気配数量7</stp>
        <tr r="H35" s="3"/>
      </tp>
      <tp t="s">
        <v/>
        <stp/>
        <stp>Market</stp>
        <stp>FOP</stp>
        <stp>ご指定の銘柄コードは存在しません。再入力してください。</stp>
        <stp>最良買気配数量6</stp>
        <tr r="H34" s="3"/>
      </tp>
      <tp t="s">
        <v/>
        <stp/>
        <stp>Market</stp>
        <stp>FOP</stp>
        <stp>ご指定の銘柄コードは存在しません。再入力してください。</stp>
        <stp>最良買気配数量5</stp>
        <tr r="H33" s="3"/>
      </tp>
      <tp t="s">
        <v/>
        <stp/>
        <stp>Market</stp>
        <stp>FOP</stp>
        <stp>ご指定の銘柄コードは存在しません。再入力してください。</stp>
        <stp>最良買気配数量4</stp>
        <tr r="H32" s="3"/>
      </tp>
      <tp t="s">
        <v/>
        <stp/>
        <stp>TickList</stp>
        <stp>401423248,16,16,1,1</stp>
        <stp>ご指定の銘柄コードは存在しません。再入力してください。</stp>
        <stp>20</stp>
        <tr r="B17" s="3"/>
      </tp>
      <tp t="s">
        <v/>
        <stp/>
        <stp>Chart</stp>
        <stp>401439528,39,39,1,1</stp>
        <stp/>
        <stp>10M</stp>
        <stp>32</stp>
        <tr r="B40" s="2"/>
      </tp>
    </main>
    <main first="rtdsrv.4299a44e1a4840de9eca6cc7aefeb08c">
      <tp t="s">
        <v/>
        <stp/>
        <stp>Market</stp>
        <stp>FOP</stp>
        <stp>ご指定の銘柄コードは存在しません。再入力してください。</stp>
        <stp>最良買気配数量10</stp>
        <tr r="H38" s="3"/>
      </tp>
    </main>
    <main first="rtdsrv.4299a44e1a4840de9eca6cc7aefeb08c">
      <tp t="s">
        <v/>
        <stp/>
        <stp>Market</stp>
        <stp>STOCK</stp>
        <stp/>
        <stp>買成行数量</stp>
        <tr r="H19" s="1"/>
      </tp>
      <tp t="s">
        <v/>
        <stp/>
        <stp>Market</stp>
        <stp>STOCK</stp>
        <stp/>
        <stp>売成行数量</stp>
        <tr r="F19" s="1"/>
      </tp>
      <tp t="s">
        <v/>
        <stp/>
        <stp>Market</stp>
        <stp>FOP</stp>
        <stp>ご指定の銘柄コードは存在しません。再入力してください。</stp>
        <stp>清算値</stp>
        <tr r="F13" s="3"/>
      </tp>
      <tp t="s">
        <v/>
        <stp/>
        <stp>OrderIDList</stp>
        <stp>401441008,4,4,0,0</stp>
        <tr r="A5" s="5"/>
      </tp>
      <tp t="s">
        <v/>
        <stp/>
        <stp>Market</stp>
        <stp>FOP</stp>
        <stp>ご指定の銘柄コードは存在しません。再入力してください。</stp>
        <stp>最良売気配値10</stp>
        <tr r="G19" s="3"/>
      </tp>
      <tp t="s">
        <v/>
        <stp/>
        <stp>CapacityList</stp>
        <stp>401438048,3,3,14,14</stp>
        <tr r="O4" s="1"/>
      </tp>
      <tp t="s">
        <v/>
        <stp/>
        <stp>CapacityList</stp>
        <stp>401439528,3,3,16,16</stp>
        <tr r="Q4" s="2"/>
      </tp>
    </main>
    <main first="rtdsrv.4299a44e1a4840de9eca6cc7aefeb08c">
      <tp t="s">
        <v/>
        <stp/>
        <stp>Market</stp>
        <stp>STOCK</stp>
        <stp/>
        <stp>最良売気配値10</stp>
        <tr r="G21" s="1"/>
      </tp>
    </main>
    <main first="rtdsrv.4299a44e1a4840de9eca6cc7aefeb08c">
      <tp t="s">
        <v/>
        <stp/>
        <stp>Market</stp>
        <stp>FOP</stp>
        <stp>ご指定の銘柄コードは存在しません。再入力してください。</stp>
        <stp>前SQ</stp>
        <tr r="F14" s="3"/>
      </tp>
      <tp t="s">
        <v/>
        <stp/>
        <stp>FOPOpenOrder</stp>
        <stp>401423248,16,16,10,10</stp>
        <stp>0</stp>
        <stp>0</stp>
        <stp>ご指定の銘柄コードは存在しません。再入力してください。</stp>
        <stp/>
        <stp/>
        <stp/>
        <stp/>
        <stp/>
        <stp/>
        <stp/>
        <stp/>
        <stp/>
        <stp/>
        <stp/>
        <stp/>
        <tr r="K17" s="3"/>
      </tp>
      <tp t="s">
        <v/>
        <stp/>
        <stp>Market</stp>
        <stp>STOCK</stp>
        <stp/>
        <stp>最良買気配数量10</stp>
        <tr r="H40" s="1"/>
      </tp>
      <tp t="s">
        <v/>
        <stp/>
        <stp>Market</stp>
        <stp>STOCK</stp>
        <stp/>
        <stp>PBR</stp>
        <tr r="H12" s="1"/>
        <tr r="H12" s="2"/>
      </tp>
      <tp t="s">
        <v/>
        <stp/>
        <stp>Market</stp>
        <stp>STOCK</stp>
        <stp/>
        <stp>PER</stp>
        <tr r="H13" s="1"/>
        <tr r="H13" s="2"/>
      </tp>
    </main>
    <main first="rtdsrv.4299a44e1a4840de9eca6cc7aefeb08c">
      <tp t="s">
        <v/>
        <stp/>
        <stp>Market</stp>
        <stp>STOCK</stp>
        <stp/>
        <stp>最良買気配数量8</stp>
        <tr r="H38" s="1"/>
      </tp>
      <tp t="s">
        <v/>
        <stp/>
        <stp>Market</stp>
        <stp>STOCK</stp>
        <stp/>
        <stp>最良買気配数量9</stp>
        <tr r="H39" s="1"/>
      </tp>
      <tp t="s">
        <v/>
        <stp/>
        <stp>Market</stp>
        <stp>STOCK</stp>
        <stp/>
        <stp>最良買気配数量1</stp>
        <tr r="H31" s="1"/>
      </tp>
      <tp t="s">
        <v/>
        <stp/>
        <stp>Market</stp>
        <stp>STOCK</stp>
        <stp/>
        <stp>最良買気配数量2</stp>
        <tr r="H32" s="1"/>
      </tp>
      <tp t="s">
        <v/>
        <stp/>
        <stp>Market</stp>
        <stp>STOCK</stp>
        <stp/>
        <stp>最良買気配数量3</stp>
        <tr r="H33" s="1"/>
      </tp>
      <tp t="s">
        <v/>
        <stp/>
        <stp>Market</stp>
        <stp>STOCK</stp>
        <stp/>
        <stp>最良買気配数量4</stp>
        <tr r="H34" s="1"/>
      </tp>
      <tp t="s">
        <v/>
        <stp/>
        <stp>Market</stp>
        <stp>STOCK</stp>
        <stp/>
        <stp>最良買気配数量5</stp>
        <tr r="H35" s="1"/>
      </tp>
      <tp t="s">
        <v/>
        <stp/>
        <stp>Market</stp>
        <stp>STOCK</stp>
        <stp/>
        <stp>最良買気配数量6</stp>
        <tr r="H36" s="1"/>
      </tp>
      <tp t="s">
        <v/>
        <stp/>
        <stp>Market</stp>
        <stp>STOCK</stp>
        <stp/>
        <stp>最良買気配数量7</stp>
        <tr r="H37" s="1"/>
      </tp>
      <tp t="s">
        <v/>
        <stp/>
        <stp>Market</stp>
        <stp>FOP</stp>
        <stp>ご指定の銘柄コードは存在しません。再入力してください。</stp>
        <stp>残存日数</stp>
        <tr r="F15" s="3"/>
      </tp>
    </main>
    <main first="rtdsrv.4299a44e1a4840de9eca6cc7aefeb08c">
      <tp t="s">
        <v/>
        <stp/>
        <stp>Market</stp>
        <stp>FOP</stp>
        <stp>ご指定の銘柄コードは存在しません。再入力してください。</stp>
        <stp>始値</stp>
        <tr r="C13" s="3"/>
      </tp>
      <tp t="s">
        <v/>
        <stp/>
        <stp>StockOrder</stp>
        <stp>401439528,10,10,12,12</stp>
        <stp>0</stp>
        <stp>0</stp>
        <stp>0</stp>
        <stp/>
        <stp/>
        <stp/>
        <stp/>
        <stp/>
        <stp/>
        <stp/>
        <stp/>
        <stp/>
        <stp/>
        <stp/>
        <stp/>
        <stp/>
        <stp>0</stp>
        <stp/>
        <stp/>
        <stp/>
        <tr r="M11" s="2"/>
      </tp>
      <tp t="s">
        <v/>
        <stp/>
        <stp>Market</stp>
        <stp>FOP</stp>
        <stp>ご指定の銘柄コードは存在しません。再入力してください。</stp>
        <stp>安値</stp>
        <tr r="C15" s="3"/>
      </tp>
      <tp t="s">
        <v/>
        <stp/>
        <stp>StockOrder</stp>
        <stp>401438048,10,10,10,10</stp>
        <stp>0</stp>
        <stp>0</stp>
        <stp>0</stp>
        <stp/>
        <stp/>
        <stp/>
        <stp/>
        <stp/>
        <stp/>
        <stp/>
        <stp/>
        <stp/>
        <stp/>
        <stp/>
        <stp/>
        <stp/>
        <stp>0</stp>
        <stp/>
        <stp/>
        <stp/>
        <tr r="K11" s="1"/>
      </tp>
    </main>
    <main first="rtdsrv.4299a44e1a4840de9eca6cc7aefeb08c">
      <tp t="s">
        <v/>
        <stp/>
        <stp>Market</stp>
        <stp>FOP</stp>
        <stp>ご指定の銘柄コードは存在しません。再入力してください。</stp>
        <stp>現在値</stp>
        <tr r="C10" s="3"/>
      </tp>
    </main>
    <main first="rtdsrv.4299a44e1a4840de9eca6cc7aefeb08c">
      <tp t="s">
        <v/>
        <stp/>
        <stp>Market</stp>
        <stp>STOCK</stp>
        <stp/>
        <stp>売買代金</stp>
        <tr r="F15" s="2"/>
        <tr r="F15" s="1"/>
      </tp>
      <tp t="s">
        <v/>
        <stp/>
        <stp>Market</stp>
        <stp>FOP</stp>
        <stp>ご指定の銘柄コードは存在しません。再入力してください。</stp>
        <stp>最良買気配値10</stp>
        <tr r="G38" s="3"/>
      </tp>
    </main>
    <main first="rtdsrv.4299a44e1a4840de9eca6cc7aefeb08c">
      <tp t="s">
        <v/>
        <stp/>
        <stp>Market</stp>
        <stp>STOCK</stp>
        <stp/>
        <stp>現在値</stp>
        <tr r="C10" s="1"/>
        <tr r="C10" s="2"/>
      </tp>
      <tp t="s">
        <v/>
        <stp/>
        <stp>Market</stp>
        <stp>STOCK</stp>
        <stp/>
        <stp>最良売気配時刻</stp>
        <tr r="D11" s="1"/>
        <tr r="D11" s="2"/>
      </tp>
      <tp t="s">
        <v/>
        <stp/>
        <stp>Market</stp>
        <stp>STOCK</stp>
        <stp/>
        <stp>最良買気配時刻</stp>
        <tr r="D12" s="2"/>
        <tr r="D12" s="1"/>
      </tp>
      <tp t="s">
        <v/>
        <stp/>
        <stp>Market</stp>
        <stp>FOP</stp>
        <stp>ご指定の銘柄コードは存在しません。再入力してください。</stp>
        <stp>最良売気配数量9</stp>
        <tr r="F20" s="3"/>
      </tp>
      <tp t="s">
        <v/>
        <stp/>
        <stp>Market</stp>
        <stp>FOP</stp>
        <stp>ご指定の銘柄コードは存在しません。再入力してください。</stp>
        <stp>最良売気配数量8</stp>
        <tr r="F21" s="3"/>
      </tp>
      <tp t="s">
        <v/>
        <stp/>
        <stp>Market</stp>
        <stp>FOP</stp>
        <stp>ご指定の銘柄コードは存在しません。再入力してください。</stp>
        <stp>最良売気配数量3</stp>
        <tr r="F26" s="3"/>
      </tp>
      <tp t="s">
        <v/>
        <stp/>
        <stp>Market</stp>
        <stp>FOP</stp>
        <stp>ご指定の銘柄コードは存在しません。再入力してください。</stp>
        <stp>最良売気配数量2</stp>
        <tr r="F27" s="3"/>
      </tp>
      <tp t="s">
        <v/>
        <stp/>
        <stp>Market</stp>
        <stp>FOP</stp>
        <stp>ご指定の銘柄コードは存在しません。再入力してください。</stp>
        <stp>最良売気配数量1</stp>
        <tr r="F28" s="3"/>
      </tp>
      <tp t="s">
        <v/>
        <stp/>
        <stp>Market</stp>
        <stp>FOP</stp>
        <stp>ご指定の銘柄コードは存在しません。再入力してください。</stp>
        <stp>最良売気配数量7</stp>
        <tr r="F22" s="3"/>
      </tp>
      <tp t="s">
        <v/>
        <stp/>
        <stp>Market</stp>
        <stp>FOP</stp>
        <stp>ご指定の銘柄コードは存在しません。再入力してください。</stp>
        <stp>最良売気配数量6</stp>
        <tr r="F23" s="3"/>
      </tp>
      <tp t="s">
        <v/>
        <stp/>
        <stp>Market</stp>
        <stp>FOP</stp>
        <stp>ご指定の銘柄コードは存在しません。再入力してください。</stp>
        <stp>最良売気配数量5</stp>
        <tr r="F24" s="3"/>
      </tp>
      <tp t="s">
        <v/>
        <stp/>
        <stp>Market</stp>
        <stp>FOP</stp>
        <stp>ご指定の銘柄コードは存在しません。再入力してください。</stp>
        <stp>最良売気配数量4</stp>
        <tr r="F25" s="3"/>
      </tp>
      <tp t="s">
        <v/>
        <stp/>
        <stp>Market</stp>
        <stp>STOCK</stp>
        <stp/>
        <stp>出来高</stp>
        <tr r="F14" s="1"/>
        <tr r="F14" s="2"/>
      </tp>
    </main>
    <main first="rtdsrv.4299a44e1a4840de9eca6cc7aefeb08c">
      <tp t="s">
        <v/>
        <stp/>
        <stp>Market</stp>
        <stp>STOCK</stp>
        <stp/>
        <stp>最良売気配値3</stp>
        <tr r="G28" s="1"/>
      </tp>
      <tp t="s">
        <v/>
        <stp/>
        <stp>Market</stp>
        <stp>STOCK</stp>
        <stp/>
        <stp>最良売気配値2</stp>
        <tr r="G29" s="1"/>
      </tp>
      <tp t="s">
        <v/>
        <stp/>
        <stp>Market</stp>
        <stp>STOCK</stp>
        <stp/>
        <stp>最良売気配値1</stp>
        <tr r="G30" s="1"/>
      </tp>
      <tp t="s">
        <v/>
        <stp/>
        <stp>Market</stp>
        <stp>STOCK</stp>
        <stp/>
        <stp>最良売気配値7</stp>
        <tr r="G24" s="1"/>
      </tp>
      <tp t="s">
        <v/>
        <stp/>
        <stp>Market</stp>
        <stp>STOCK</stp>
        <stp/>
        <stp>最良売気配値6</stp>
        <tr r="G25" s="1"/>
      </tp>
      <tp t="s">
        <v/>
        <stp/>
        <stp>Market</stp>
        <stp>STOCK</stp>
        <stp/>
        <stp>最良売気配値5</stp>
        <tr r="G26" s="1"/>
      </tp>
      <tp t="s">
        <v/>
        <stp/>
        <stp>Market</stp>
        <stp>STOCK</stp>
        <stp/>
        <stp>最良売気配値4</stp>
        <tr r="G27" s="1"/>
      </tp>
      <tp t="s">
        <v/>
        <stp/>
        <stp>Market</stp>
        <stp>STOCK</stp>
        <stp/>
        <stp>最良売気配値9</stp>
        <tr r="G22" s="1"/>
      </tp>
      <tp t="s">
        <v/>
        <stp/>
        <stp>Market</stp>
        <stp>STOCK</stp>
        <stp/>
        <stp>最良売気配値8</stp>
        <tr r="G23" s="1"/>
      </tp>
      <tp t="s">
        <v/>
        <stp/>
        <stp>Market</stp>
        <stp>FOP</stp>
        <stp>ご指定の銘柄コードは存在しません。再入力してください。</stp>
        <stp>セータ</stp>
        <tr r="H14" s="3"/>
      </tp>
      <tp t="s">
        <v/>
        <stp/>
        <stp>Market</stp>
        <stp>STOCK</stp>
        <stp/>
        <stp>最良買気配値6</stp>
        <tr r="G36" s="1"/>
      </tp>
      <tp t="s">
        <v/>
        <stp/>
        <stp>Market</stp>
        <stp>STOCK</stp>
        <stp/>
        <stp>最良買気配値7</stp>
        <tr r="G37" s="1"/>
      </tp>
      <tp t="s">
        <v/>
        <stp/>
        <stp>Market</stp>
        <stp>STOCK</stp>
        <stp/>
        <stp>最良買気配値4</stp>
        <tr r="G34" s="1"/>
      </tp>
      <tp t="s">
        <v/>
        <stp/>
        <stp>Market</stp>
        <stp>STOCK</stp>
        <stp/>
        <stp>最良買気配値5</stp>
        <tr r="G35" s="1"/>
      </tp>
      <tp t="s">
        <v/>
        <stp/>
        <stp>Market</stp>
        <stp>STOCK</stp>
        <stp/>
        <stp>最良買気配値2</stp>
        <tr r="G32" s="1"/>
      </tp>
      <tp t="s">
        <v/>
        <stp/>
        <stp>Market</stp>
        <stp>STOCK</stp>
        <stp/>
        <stp>最良買気配値3</stp>
        <tr r="G33" s="1"/>
      </tp>
      <tp t="s">
        <v/>
        <stp/>
        <stp>Market</stp>
        <stp>STOCK</stp>
        <stp/>
        <stp>最良買気配値1</stp>
        <tr r="G31" s="1"/>
      </tp>
      <tp t="s">
        <v/>
        <stp/>
        <stp>Market</stp>
        <stp>STOCK</stp>
        <stp/>
        <stp>最良買気配値8</stp>
        <tr r="G38" s="1"/>
      </tp>
      <tp t="s">
        <v/>
        <stp/>
        <stp>Market</stp>
        <stp>STOCK</stp>
        <stp/>
        <stp>最良買気配値9</stp>
        <tr r="G39" s="1"/>
      </tp>
      <tp t="s">
        <v/>
        <stp/>
        <stp>Market</stp>
        <stp>STOCK</stp>
        <stp/>
        <stp>最良売気配値</stp>
        <tr r="C11" s="2"/>
        <tr r="C11" s="1"/>
      </tp>
      <tp t="s">
        <v/>
        <stp/>
        <stp>Market</stp>
        <stp>STOCK</stp>
        <stp/>
        <stp>最良買気配値</stp>
        <tr r="C12" s="2"/>
        <tr r="C12" s="1"/>
      </tp>
      <tp t="s">
        <v/>
        <stp/>
        <stp>Market</stp>
        <stp>STOCK</stp>
        <stp/>
        <stp>最良売気配数量8</stp>
        <tr r="F23" s="1"/>
      </tp>
      <tp t="s">
        <v/>
        <stp/>
        <stp>Market</stp>
        <stp>STOCK</stp>
        <stp/>
        <stp>最良売気配数量9</stp>
        <tr r="F22" s="1"/>
      </tp>
      <tp t="s">
        <v/>
        <stp/>
        <stp>Market</stp>
        <stp>STOCK</stp>
        <stp/>
        <stp>最良売気配数量1</stp>
        <tr r="F30" s="1"/>
      </tp>
      <tp t="s">
        <v/>
        <stp/>
        <stp>Market</stp>
        <stp>STOCK</stp>
        <stp/>
        <stp>最良売気配数量2</stp>
        <tr r="F29" s="1"/>
      </tp>
      <tp t="s">
        <v/>
        <stp/>
        <stp>Market</stp>
        <stp>STOCK</stp>
        <stp/>
        <stp>最良売気配数量3</stp>
        <tr r="F28" s="1"/>
      </tp>
      <tp t="s">
        <v/>
        <stp/>
        <stp>Market</stp>
        <stp>STOCK</stp>
        <stp/>
        <stp>最良売気配数量4</stp>
        <tr r="F27" s="1"/>
      </tp>
      <tp t="s">
        <v/>
        <stp/>
        <stp>Market</stp>
        <stp>STOCK</stp>
        <stp/>
        <stp>最良売気配数量5</stp>
        <tr r="F26" s="1"/>
      </tp>
      <tp t="s">
        <v/>
        <stp/>
        <stp>Market</stp>
        <stp>STOCK</stp>
        <stp/>
        <stp>最良売気配数量6</stp>
        <tr r="F25" s="1"/>
      </tp>
      <tp t="s">
        <v/>
        <stp/>
        <stp>Market</stp>
        <stp>STOCK</stp>
        <stp/>
        <stp>最良売気配数量7</stp>
        <tr r="F24" s="1"/>
      </tp>
      <tp t="s">
        <v/>
        <stp/>
        <stp>Market</stp>
        <stp>STOCK</stp>
        <stp/>
        <stp>時価総額</stp>
        <tr r="H11" s="2"/>
        <tr r="H11" s="1"/>
      </tp>
    </main>
    <main first="rtdsrv.4299a44e1a4840de9eca6cc7aefeb08c">
      <tp t="s">
        <v/>
        <stp/>
        <stp>Market</stp>
        <stp>FOP</stp>
        <stp>ご指定の銘柄コードは存在しません。再入力してください。</stp>
        <stp>売買代金</stp>
        <tr r="F11" s="3"/>
      </tp>
      <tp t="s">
        <v/>
        <stp/>
        <stp>Market</stp>
        <stp>FOP</stp>
        <stp>ご指定の銘柄コードは存在しません。再入力してください。</stp>
        <stp>ガンマ</stp>
        <tr r="H12" s="3"/>
      </tp>
      <tp t="s">
        <v/>
        <stp/>
        <stp>Market</stp>
        <stp>FOP</stp>
        <stp>ご指定の銘柄コードは存在しません。再入力してください。</stp>
        <stp>出来高</stp>
        <tr r="F10" s="3"/>
      </tp>
      <tp t="s">
        <v/>
        <stp/>
        <stp>Market</stp>
        <stp>STOCK</stp>
        <stp/>
        <stp>最良買気配値10</stp>
        <tr r="G40" s="1"/>
      </tp>
      <tp t="s">
        <v/>
        <stp/>
        <stp>Market</stp>
        <stp>FOP</stp>
        <stp>ご指定の銘柄コードは存在しません。再入力してください。</stp>
        <stp>最良売気配値7</stp>
        <tr r="G22" s="3"/>
      </tp>
      <tp t="s">
        <v/>
        <stp/>
        <stp>Market</stp>
        <stp>FOP</stp>
        <stp>ご指定の銘柄コードは存在しません。再入力してください。</stp>
        <stp>最良売気配値6</stp>
        <tr r="G23" s="3"/>
      </tp>
      <tp t="s">
        <v/>
        <stp/>
        <stp>Market</stp>
        <stp>FOP</stp>
        <stp>ご指定の銘柄コードは存在しません。再入力してください。</stp>
        <stp>最良売気配値5</stp>
        <tr r="G24" s="3"/>
      </tp>
      <tp t="s">
        <v/>
        <stp/>
        <stp>Market</stp>
        <stp>FOP</stp>
        <stp>ご指定の銘柄コードは存在しません。再入力してください。</stp>
        <stp>最良売気配値4</stp>
        <tr r="G25" s="3"/>
      </tp>
      <tp t="s">
        <v/>
        <stp/>
        <stp>Market</stp>
        <stp>FOP</stp>
        <stp>ご指定の銘柄コードは存在しません。再入力してください。</stp>
        <stp>最良売気配値3</stp>
        <tr r="G26" s="3"/>
      </tp>
      <tp t="s">
        <v/>
        <stp/>
        <stp>Market</stp>
        <stp>FOP</stp>
        <stp>ご指定の銘柄コードは存在しません。再入力してください。</stp>
        <stp>最良売気配値2</stp>
        <tr r="G27" s="3"/>
      </tp>
      <tp t="s">
        <v/>
        <stp/>
        <stp>Market</stp>
        <stp>FOP</stp>
        <stp>ご指定の銘柄コードは存在しません。再入力してください。</stp>
        <stp>最良売気配値1</stp>
        <tr r="G28" s="3"/>
      </tp>
      <tp t="s">
        <v/>
        <stp/>
        <stp>Market</stp>
        <stp>FOP</stp>
        <stp>ご指定の銘柄コードは存在しません。再入力してください。</stp>
        <stp>最良売気配値9</stp>
        <tr r="G20" s="3"/>
      </tp>
      <tp t="s">
        <v/>
        <stp/>
        <stp>Market</stp>
        <stp>FOP</stp>
        <stp>ご指定の銘柄コードは存在しません。再入力してください。</stp>
        <stp>最良売気配値8</stp>
        <tr r="G21" s="3"/>
      </tp>
    </main>
    <main first="rtdsrv.4299a44e1a4840de9eca6cc7aefeb08c">
      <tp t="s">
        <v/>
        <stp/>
        <stp>Market</stp>
        <stp>FOP</stp>
        <stp>ご指定の銘柄コードは存在しません。再入力してください。</stp>
        <stp>最良買気配値2</stp>
        <tr r="G30" s="3"/>
      </tp>
      <tp t="s">
        <v/>
        <stp/>
        <stp>Market</stp>
        <stp>FOP</stp>
        <stp>ご指定の銘柄コードは存在しません。再入力してください。</stp>
        <stp>最良買気配値3</stp>
        <tr r="G31" s="3"/>
      </tp>
      <tp t="s">
        <v/>
        <stp/>
        <stp>Market</stp>
        <stp>FOP</stp>
        <stp>ご指定の銘柄コードは存在しません。再入力してください。</stp>
        <stp>最良買気配値1</stp>
        <tr r="G29" s="3"/>
      </tp>
      <tp t="s">
        <v/>
        <stp/>
        <stp>Market</stp>
        <stp>FOP</stp>
        <stp>ご指定の銘柄コードは存在しません。再入力してください。</stp>
        <stp>最良買気配値6</stp>
        <tr r="G34" s="3"/>
      </tp>
      <tp t="s">
        <v/>
        <stp/>
        <stp>Market</stp>
        <stp>FOP</stp>
        <stp>ご指定の銘柄コードは存在しません。再入力してください。</stp>
        <stp>最良買気配値7</stp>
        <tr r="G35" s="3"/>
      </tp>
      <tp t="s">
        <v/>
        <stp/>
        <stp>Market</stp>
        <stp>FOP</stp>
        <stp>ご指定の銘柄コードは存在しません。再入力してください。</stp>
        <stp>最良買気配値4</stp>
        <tr r="G32" s="3"/>
      </tp>
      <tp t="s">
        <v/>
        <stp/>
        <stp>Market</stp>
        <stp>FOP</stp>
        <stp>ご指定の銘柄コードは存在しません。再入力してください。</stp>
        <stp>最良買気配値5</stp>
        <tr r="G33" s="3"/>
      </tp>
      <tp t="s">
        <v/>
        <stp/>
        <stp>Market</stp>
        <stp>FOP</stp>
        <stp>ご指定の銘柄コードは存在しません。再入力してください。</stp>
        <stp>最良買気配値8</stp>
        <tr r="G36" s="3"/>
      </tp>
      <tp t="s">
        <v/>
        <stp/>
        <stp>Market</stp>
        <stp>FOP</stp>
        <stp>ご指定の銘柄コードは存在しません。再入力してください。</stp>
        <stp>最良買気配値9</stp>
        <tr r="G37" s="3"/>
      </tp>
      <tp t="s">
        <v/>
        <stp/>
        <stp>Market</stp>
        <stp>FOP</stp>
        <stp>ご指定の銘柄コードは存在しません。再入力してください。</stp>
        <stp>高値</stp>
        <tr r="C14" s="3"/>
      </tp>
    </main>
    <main first="rtdsrv.4299a44e1a4840de9eca6cc7aefeb08c">
      <tp t="s">
        <v/>
        <stp/>
        <stp>Market</stp>
        <stp>FOP</stp>
        <stp>ご指定の銘柄コードは存在しません。再入力してください。</stp>
        <stp>前日比率</stp>
        <tr r="D11" s="3"/>
      </tp>
      <tp t="s">
        <v/>
        <stp/>
        <stp>Market</stp>
        <stp>FOP</stp>
        <stp>ご指定の銘柄コードは存在しません。再入力してください。</stp>
        <stp>前日日付</stp>
        <tr r="D12" s="3"/>
      </tp>
    </main>
    <main first="rtdsrv.4299a44e1a4840de9eca6cc7aefeb08c">
      <tp t="s">
        <v/>
        <stp/>
        <stp>Market</stp>
        <stp>FOP</stp>
        <stp>ご指定の銘柄コードは存在しません。再入力してください。</stp>
        <stp>前日終値</stp>
        <tr r="C12" s="3"/>
      </tp>
    </main>
    <main first="rtdsrv.4299a44e1a4840de9eca6cc7aefeb08c">
      <tp t="s">
        <v/>
        <stp/>
        <stp>Market</stp>
        <stp>STOCK</stp>
        <stp/>
        <stp>高値</stp>
        <tr r="C14" s="1"/>
        <tr r="C14" s="2"/>
      </tp>
    </main>
    <main first="rtdsrv.4299a44e1a4840de9eca6cc7aefeb08c">
      <tp t="s">
        <v/>
        <stp/>
        <stp>Market</stp>
        <stp>FOP</stp>
        <stp>ご指定の銘柄コードは存在しません。再入力してください。</stp>
        <stp>銘柄名称</stp>
        <tr r="M21" s="3"/>
        <tr r="C8" s="3"/>
      </tp>
    </main>
    <main first="rtdsrv.4299a44e1a4840de9eca6cc7aefeb08c">
      <tp t="s">
        <v/>
        <stp/>
        <stp>Market</stp>
        <stp>FOP</stp>
        <stp>ご指定の銘柄コードは存在しません。再入力してください。</stp>
        <stp>デルタ</stp>
        <tr r="H11" s="3"/>
      </tp>
      <tp t="s">
        <v/>
        <stp/>
        <stp>Market</stp>
        <stp>STOCK</stp>
        <stp/>
        <stp>銘柄名称</stp>
        <tr r="M15" s="1"/>
        <tr r="C8" s="2"/>
        <tr r="C8" s="1"/>
        <tr r="O15" s="2"/>
      </tp>
    </main>
    <main first="rtdsrv.4299a44e1a4840de9eca6cc7aefeb08c">
      <tp t="s">
        <v/>
        <stp/>
        <stp>Market</stp>
        <stp>STOCK</stp>
        <stp/>
        <stp>前日終値</stp>
        <tr r="F12" s="2"/>
        <tr r="F12" s="1"/>
      </tp>
    </main>
    <main first="rtdsrv.4299a44e1a4840de9eca6cc7aefeb08c">
      <tp t="s">
        <v/>
        <stp/>
        <stp>Market</stp>
        <stp>STOCK</stp>
        <stp/>
        <stp>前日日付</stp>
        <tr r="F13" s="1"/>
        <tr r="F13" s="2"/>
      </tp>
    </main>
    <main first="rtdsrv.4299a44e1a4840de9eca6cc7aefeb08c">
      <tp t="s">
        <v/>
        <stp/>
        <stp>Market</stp>
        <stp>STOCK</stp>
        <stp/>
        <stp>前日比率</stp>
        <tr r="F11" s="2"/>
        <tr r="F11" s="1"/>
      </tp>
    </main>
  </volType>
</volType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volatileDependencies" Target="volatileDependencies.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国内株発注②!$F$41</c:f>
              <c:strCache>
                <c:ptCount val="1"/>
                <c:pt idx="0">
                  <c:v>出来高</c:v>
                </c:pt>
              </c:strCache>
            </c:strRef>
          </c:tx>
          <c:spPr>
            <a:solidFill>
              <a:schemeClr val="accent1"/>
            </a:solidFill>
            <a:ln w="19050">
              <a:noFill/>
            </a:ln>
            <a:effectLst/>
          </c:spPr>
          <c:invertIfNegative val="0"/>
          <c:cat>
            <c:numRef>
              <c:f>国内株発注②!$E$42:$E$73</c:f>
              <c:numCache>
                <c:formatCode>m/d/yyyy</c:formatCode>
                <c:ptCount val="32"/>
              </c:numCache>
            </c:numRef>
          </c:cat>
          <c:val>
            <c:numRef>
              <c:f>国内株発注②!$F$42:$F$73</c:f>
              <c:numCache>
                <c:formatCode>#,##0_);[Red]\(#,##0\)</c:formatCode>
                <c:ptCount val="32"/>
              </c:numCache>
            </c:numRef>
          </c:val>
          <c:extLst>
            <c:ext xmlns:c16="http://schemas.microsoft.com/office/drawing/2014/chart" uri="{C3380CC4-5D6E-409C-BE32-E72D297353CC}">
              <c16:uniqueId val="{00000000-9E0D-4E9F-ABDA-D39076070863}"/>
            </c:ext>
          </c:extLst>
        </c:ser>
        <c:dLbls>
          <c:showLegendKey val="0"/>
          <c:showVal val="0"/>
          <c:showCatName val="0"/>
          <c:showSerName val="0"/>
          <c:showPercent val="0"/>
          <c:showBubbleSize val="0"/>
        </c:dLbls>
        <c:gapWidth val="150"/>
        <c:axId val="119431936"/>
        <c:axId val="119433472"/>
      </c:barChart>
      <c:stockChart>
        <c:ser>
          <c:idx val="1"/>
          <c:order val="1"/>
          <c:tx>
            <c:strRef>
              <c:f>国内株発注②!$G$41</c:f>
              <c:strCache>
                <c:ptCount val="1"/>
                <c:pt idx="0">
                  <c:v>始値</c:v>
                </c:pt>
              </c:strCache>
            </c:strRef>
          </c:tx>
          <c:spPr>
            <a:ln w="19050" cap="rnd">
              <a:noFill/>
              <a:round/>
            </a:ln>
            <a:effectLst/>
          </c:spPr>
          <c:marker>
            <c:symbol val="none"/>
          </c:marker>
          <c:cat>
            <c:numRef>
              <c:f>国内株発注②!$E$42:$E$73</c:f>
              <c:numCache>
                <c:formatCode>m/d/yyyy</c:formatCode>
                <c:ptCount val="32"/>
              </c:numCache>
            </c:numRef>
          </c:cat>
          <c:val>
            <c:numRef>
              <c:f>国内株発注②!$G$42:$G$73</c:f>
              <c:numCache>
                <c:formatCode>#,##0_);[Red]\(#,##0\)</c:formatCode>
                <c:ptCount val="32"/>
              </c:numCache>
            </c:numRef>
          </c:val>
          <c:smooth val="0"/>
          <c:extLst>
            <c:ext xmlns:c16="http://schemas.microsoft.com/office/drawing/2014/chart" uri="{C3380CC4-5D6E-409C-BE32-E72D297353CC}">
              <c16:uniqueId val="{00000001-9E0D-4E9F-ABDA-D39076070863}"/>
            </c:ext>
          </c:extLst>
        </c:ser>
        <c:ser>
          <c:idx val="2"/>
          <c:order val="2"/>
          <c:tx>
            <c:strRef>
              <c:f>国内株発注②!$H$41</c:f>
              <c:strCache>
                <c:ptCount val="1"/>
                <c:pt idx="0">
                  <c:v>高値</c:v>
                </c:pt>
              </c:strCache>
            </c:strRef>
          </c:tx>
          <c:spPr>
            <a:ln w="19050" cap="rnd">
              <a:noFill/>
              <a:round/>
            </a:ln>
            <a:effectLst/>
          </c:spPr>
          <c:marker>
            <c:symbol val="none"/>
          </c:marker>
          <c:cat>
            <c:numRef>
              <c:f>国内株発注②!$E$42:$E$73</c:f>
              <c:numCache>
                <c:formatCode>m/d/yyyy</c:formatCode>
                <c:ptCount val="32"/>
              </c:numCache>
            </c:numRef>
          </c:cat>
          <c:val>
            <c:numRef>
              <c:f>国内株発注②!$H$42:$H$73</c:f>
              <c:numCache>
                <c:formatCode>#,##0_);[Red]\(#,##0\)</c:formatCode>
                <c:ptCount val="32"/>
              </c:numCache>
            </c:numRef>
          </c:val>
          <c:smooth val="0"/>
          <c:extLst>
            <c:ext xmlns:c16="http://schemas.microsoft.com/office/drawing/2014/chart" uri="{C3380CC4-5D6E-409C-BE32-E72D297353CC}">
              <c16:uniqueId val="{00000002-9E0D-4E9F-ABDA-D39076070863}"/>
            </c:ext>
          </c:extLst>
        </c:ser>
        <c:ser>
          <c:idx val="3"/>
          <c:order val="3"/>
          <c:tx>
            <c:strRef>
              <c:f>国内株発注②!$I$41</c:f>
              <c:strCache>
                <c:ptCount val="1"/>
                <c:pt idx="0">
                  <c:v>安値</c:v>
                </c:pt>
              </c:strCache>
            </c:strRef>
          </c:tx>
          <c:spPr>
            <a:ln w="19050" cap="rnd">
              <a:noFill/>
              <a:round/>
            </a:ln>
            <a:effectLst/>
          </c:spPr>
          <c:marker>
            <c:symbol val="none"/>
          </c:marker>
          <c:cat>
            <c:numRef>
              <c:f>国内株発注②!$E$42:$E$73</c:f>
              <c:numCache>
                <c:formatCode>m/d/yyyy</c:formatCode>
                <c:ptCount val="32"/>
              </c:numCache>
            </c:numRef>
          </c:cat>
          <c:val>
            <c:numRef>
              <c:f>国内株発注②!$I$42:$I$73</c:f>
              <c:numCache>
                <c:formatCode>#,##0_);[Red]\(#,##0\)</c:formatCode>
                <c:ptCount val="32"/>
              </c:numCache>
            </c:numRef>
          </c:val>
          <c:smooth val="0"/>
          <c:extLst>
            <c:ext xmlns:c16="http://schemas.microsoft.com/office/drawing/2014/chart" uri="{C3380CC4-5D6E-409C-BE32-E72D297353CC}">
              <c16:uniqueId val="{00000003-9E0D-4E9F-ABDA-D39076070863}"/>
            </c:ext>
          </c:extLst>
        </c:ser>
        <c:ser>
          <c:idx val="4"/>
          <c:order val="4"/>
          <c:tx>
            <c:strRef>
              <c:f>国内株発注②!$J$41</c:f>
              <c:strCache>
                <c:ptCount val="1"/>
                <c:pt idx="0">
                  <c:v>終値</c:v>
                </c:pt>
              </c:strCache>
            </c:strRef>
          </c:tx>
          <c:spPr>
            <a:ln w="19050" cap="rnd">
              <a:noFill/>
              <a:round/>
            </a:ln>
            <a:effectLst/>
          </c:spPr>
          <c:marker>
            <c:symbol val="none"/>
          </c:marker>
          <c:cat>
            <c:numRef>
              <c:f>国内株発注②!$E$42:$E$73</c:f>
              <c:numCache>
                <c:formatCode>m/d/yyyy</c:formatCode>
                <c:ptCount val="32"/>
              </c:numCache>
            </c:numRef>
          </c:cat>
          <c:val>
            <c:numRef>
              <c:f>国内株発注②!$J$42:$J$73</c:f>
              <c:numCache>
                <c:formatCode>#,##0_);[Red]\(#,##0\)</c:formatCode>
                <c:ptCount val="32"/>
              </c:numCache>
            </c:numRef>
          </c:val>
          <c:smooth val="0"/>
          <c:extLst>
            <c:ext xmlns:c16="http://schemas.microsoft.com/office/drawing/2014/chart" uri="{C3380CC4-5D6E-409C-BE32-E72D297353CC}">
              <c16:uniqueId val="{00000004-9E0D-4E9F-ABDA-D39076070863}"/>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upDownBars>
          <c:gapWidth val="150"/>
          <c:upBars>
            <c:spPr>
              <a:solidFill>
                <a:schemeClr val="lt1"/>
              </a:solidFill>
              <a:ln w="9525" cap="flat" cmpd="sng" algn="ctr">
                <a:solidFill>
                  <a:schemeClr val="tx1">
                    <a:lumMod val="65000"/>
                    <a:lumOff val="35000"/>
                  </a:schemeClr>
                </a:solidFill>
                <a:round/>
              </a:ln>
              <a:effectLst/>
            </c:spPr>
          </c:upBars>
          <c:downBars>
            <c:spPr>
              <a:solidFill>
                <a:schemeClr val="dk1">
                  <a:lumMod val="75000"/>
                  <a:lumOff val="25000"/>
                </a:schemeClr>
              </a:solidFill>
              <a:ln w="9525" cap="flat" cmpd="sng" algn="ctr">
                <a:solidFill>
                  <a:schemeClr val="tx1">
                    <a:lumMod val="65000"/>
                    <a:lumOff val="35000"/>
                  </a:schemeClr>
                </a:solidFill>
                <a:round/>
              </a:ln>
              <a:effectLst/>
            </c:spPr>
          </c:downBars>
        </c:upDownBars>
        <c:axId val="119444992"/>
        <c:axId val="119443456"/>
      </c:stockChart>
      <c:catAx>
        <c:axId val="11943193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33472"/>
        <c:crosses val="autoZero"/>
        <c:auto val="0"/>
        <c:lblAlgn val="ctr"/>
        <c:lblOffset val="100"/>
        <c:noMultiLvlLbl val="0"/>
      </c:catAx>
      <c:valAx>
        <c:axId val="119433472"/>
        <c:scaling>
          <c:orientation val="minMax"/>
        </c:scaling>
        <c:delete val="0"/>
        <c:axPos val="l"/>
        <c:majorGridlines>
          <c:spPr>
            <a:ln w="9525" cap="flat" cmpd="sng" algn="ctr">
              <a:no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31936"/>
        <c:crosses val="autoZero"/>
        <c:crossBetween val="between"/>
      </c:valAx>
      <c:valAx>
        <c:axId val="119443456"/>
        <c:scaling>
          <c:orientation val="minMax"/>
          <c:max val="1340"/>
          <c:min val="1240"/>
        </c:scaling>
        <c:delete val="0"/>
        <c:axPos val="r"/>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44992"/>
        <c:crosses val="max"/>
        <c:crossBetween val="between"/>
      </c:valAx>
      <c:catAx>
        <c:axId val="119444992"/>
        <c:scaling>
          <c:orientation val="minMax"/>
        </c:scaling>
        <c:delete val="1"/>
        <c:axPos val="b"/>
        <c:numFmt formatCode="m/d/yyyy" sourceLinked="1"/>
        <c:majorTickMark val="out"/>
        <c:minorTickMark val="none"/>
        <c:tickLblPos val="nextTo"/>
        <c:crossAx val="119443456"/>
        <c:crosses val="autoZero"/>
        <c:auto val="0"/>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201706</xdr:colOff>
      <xdr:row>36</xdr:row>
      <xdr:rowOff>212911</xdr:rowOff>
    </xdr:from>
    <xdr:to>
      <xdr:col>10</xdr:col>
      <xdr:colOff>102773</xdr:colOff>
      <xdr:row>38</xdr:row>
      <xdr:rowOff>201386</xdr:rowOff>
    </xdr:to>
    <xdr:sp macro="[0]!CommandButton31_Click" textlink="">
      <xdr:nvSpPr>
        <xdr:cNvPr id="4" name="四角形: 角を丸くする 3">
          <a:extLst>
            <a:ext uri="{FF2B5EF4-FFF2-40B4-BE49-F238E27FC236}">
              <a16:creationId xmlns:a16="http://schemas.microsoft.com/office/drawing/2014/main" id="{DECB1505-4D35-4F55-B151-99ECBEDA5933}"/>
            </a:ext>
          </a:extLst>
        </xdr:cNvPr>
        <xdr:cNvSpPr/>
      </xdr:nvSpPr>
      <xdr:spPr>
        <a:xfrm>
          <a:off x="806824" y="8796617"/>
          <a:ext cx="2209478" cy="414298"/>
        </a:xfrm>
        <a:prstGeom prst="roundRect">
          <a:avLst/>
        </a:prstGeom>
        <a:solidFill>
          <a:schemeClr val="accent6"/>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発注</a:t>
          </a:r>
          <a:r>
            <a:rPr kumimoji="1" lang="en-US" altLang="ja-JP" sz="1400"/>
            <a:t>ID</a:t>
          </a:r>
          <a:r>
            <a:rPr kumimoji="1" lang="ja-JP" altLang="en-US" sz="1400"/>
            <a:t>セットボタン</a:t>
          </a:r>
        </a:p>
      </xdr:txBody>
    </xdr:sp>
    <xdr:clientData/>
  </xdr:twoCellAnchor>
  <xdr:twoCellAnchor>
    <xdr:from>
      <xdr:col>2</xdr:col>
      <xdr:colOff>206023</xdr:colOff>
      <xdr:row>39</xdr:row>
      <xdr:rowOff>135006</xdr:rowOff>
    </xdr:from>
    <xdr:to>
      <xdr:col>10</xdr:col>
      <xdr:colOff>89647</xdr:colOff>
      <xdr:row>41</xdr:row>
      <xdr:rowOff>120218</xdr:rowOff>
    </xdr:to>
    <xdr:sp macro="[0]!CommandButton32_Click" textlink="">
      <xdr:nvSpPr>
        <xdr:cNvPr id="5" name="四角形: 角を丸くする 4">
          <a:extLst>
            <a:ext uri="{FF2B5EF4-FFF2-40B4-BE49-F238E27FC236}">
              <a16:creationId xmlns:a16="http://schemas.microsoft.com/office/drawing/2014/main" id="{66BA00CB-7DD9-4016-AF5B-F3D6A0C50CB6}"/>
            </a:ext>
          </a:extLst>
        </xdr:cNvPr>
        <xdr:cNvSpPr/>
      </xdr:nvSpPr>
      <xdr:spPr>
        <a:xfrm>
          <a:off x="811141" y="9357447"/>
          <a:ext cx="2192035" cy="411036"/>
        </a:xfrm>
        <a:prstGeom prst="roundRect">
          <a:avLst/>
        </a:prstGeom>
        <a:solidFill>
          <a:srgbClr val="FF505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発注ボタン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445835</xdr:colOff>
      <xdr:row>6</xdr:row>
      <xdr:rowOff>117592</xdr:rowOff>
    </xdr:from>
    <xdr:to>
      <xdr:col>9</xdr:col>
      <xdr:colOff>33617</xdr:colOff>
      <xdr:row>7</xdr:row>
      <xdr:rowOff>175350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2741360" y="1546342"/>
          <a:ext cx="35457" cy="295883"/>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１</a:t>
          </a:r>
        </a:p>
      </xdr:txBody>
    </xdr:sp>
    <xdr:clientData/>
  </xdr:twoCellAnchor>
  <xdr:twoCellAnchor>
    <xdr:from>
      <xdr:col>11</xdr:col>
      <xdr:colOff>463764</xdr:colOff>
      <xdr:row>6</xdr:row>
      <xdr:rowOff>135523</xdr:rowOff>
    </xdr:from>
    <xdr:to>
      <xdr:col>11</xdr:col>
      <xdr:colOff>735105</xdr:colOff>
      <xdr:row>7</xdr:row>
      <xdr:rowOff>193281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9562940" y="1435405"/>
          <a:ext cx="271341" cy="259464"/>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2</a:t>
          </a:r>
          <a:endParaRPr kumimoji="1" lang="ja-JP" altLang="en-US" sz="1600" b="1">
            <a:latin typeface="Meiryo UI" panose="020B0604030504040204" pitchFamily="50" charset="-128"/>
            <a:ea typeface="Meiryo UI" panose="020B0604030504040204" pitchFamily="50" charset="-128"/>
          </a:endParaRPr>
        </a:p>
      </xdr:txBody>
    </xdr:sp>
    <xdr:clientData/>
  </xdr:twoCellAnchor>
  <xdr:twoCellAnchor>
    <xdr:from>
      <xdr:col>10</xdr:col>
      <xdr:colOff>1154047</xdr:colOff>
      <xdr:row>16</xdr:row>
      <xdr:rowOff>7774</xdr:rowOff>
    </xdr:from>
    <xdr:to>
      <xdr:col>11</xdr:col>
      <xdr:colOff>136712</xdr:colOff>
      <xdr:row>17</xdr:row>
      <xdr:rowOff>65532</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3354322" y="3817774"/>
          <a:ext cx="135190" cy="295883"/>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3</a:t>
          </a:r>
          <a:endParaRPr kumimoji="1" lang="ja-JP" altLang="en-US" sz="1600" b="1">
            <a:latin typeface="Meiryo UI" panose="020B0604030504040204" pitchFamily="50" charset="-128"/>
            <a:ea typeface="Meiryo UI" panose="020B0604030504040204" pitchFamily="50" charset="-128"/>
          </a:endParaRPr>
        </a:p>
      </xdr:txBody>
    </xdr:sp>
    <xdr:clientData/>
  </xdr:twoCellAnchor>
  <xdr:twoCellAnchor>
    <xdr:from>
      <xdr:col>14</xdr:col>
      <xdr:colOff>914240</xdr:colOff>
      <xdr:row>6</xdr:row>
      <xdr:rowOff>160174</xdr:rowOff>
    </xdr:from>
    <xdr:to>
      <xdr:col>14</xdr:col>
      <xdr:colOff>1182379</xdr:colOff>
      <xdr:row>8</xdr:row>
      <xdr:rowOff>16226</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12187358" y="1460056"/>
          <a:ext cx="268139" cy="259464"/>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4</a:t>
          </a:r>
          <a:endParaRPr kumimoji="1" lang="ja-JP" altLang="en-US" sz="1600" b="1">
            <a:latin typeface="Meiryo UI" panose="020B0604030504040204" pitchFamily="50" charset="-128"/>
            <a:ea typeface="Meiryo UI" panose="020B0604030504040204" pitchFamily="50" charset="-128"/>
          </a:endParaRPr>
        </a:p>
      </xdr:txBody>
    </xdr:sp>
    <xdr:clientData/>
  </xdr:twoCellAnchor>
  <xdr:twoCellAnchor>
    <xdr:from>
      <xdr:col>11</xdr:col>
      <xdr:colOff>674915</xdr:colOff>
      <xdr:row>7</xdr:row>
      <xdr:rowOff>170914</xdr:rowOff>
    </xdr:from>
    <xdr:to>
      <xdr:col>14</xdr:col>
      <xdr:colOff>718457</xdr:colOff>
      <xdr:row>9</xdr:row>
      <xdr:rowOff>181801</xdr:rowOff>
    </xdr:to>
    <xdr:sp macro="[0]!CommandButton11_Click" textlink="">
      <xdr:nvSpPr>
        <xdr:cNvPr id="8" name="四角形: 角を丸くする 7">
          <a:extLst>
            <a:ext uri="{FF2B5EF4-FFF2-40B4-BE49-F238E27FC236}">
              <a16:creationId xmlns:a16="http://schemas.microsoft.com/office/drawing/2014/main" id="{B04ABF62-D37F-4E60-88BF-41E6AE9279E9}"/>
            </a:ext>
          </a:extLst>
        </xdr:cNvPr>
        <xdr:cNvSpPr/>
      </xdr:nvSpPr>
      <xdr:spPr>
        <a:xfrm>
          <a:off x="9710058" y="1673143"/>
          <a:ext cx="2220685" cy="402772"/>
        </a:xfrm>
        <a:prstGeom prst="roundRect">
          <a:avLst/>
        </a:prstGeom>
        <a:solidFill>
          <a:schemeClr val="accent6"/>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発注</a:t>
          </a:r>
          <a:r>
            <a:rPr kumimoji="1" lang="en-US" altLang="ja-JP" sz="1400"/>
            <a:t>ID</a:t>
          </a:r>
          <a:r>
            <a:rPr kumimoji="1" lang="ja-JP" altLang="en-US" sz="1400"/>
            <a:t>セットボタン</a:t>
          </a:r>
        </a:p>
      </xdr:txBody>
    </xdr:sp>
    <xdr:clientData/>
  </xdr:twoCellAnchor>
  <xdr:twoCellAnchor>
    <xdr:from>
      <xdr:col>14</xdr:col>
      <xdr:colOff>1124428</xdr:colOff>
      <xdr:row>7</xdr:row>
      <xdr:rowOff>162964</xdr:rowOff>
    </xdr:from>
    <xdr:to>
      <xdr:col>15</xdr:col>
      <xdr:colOff>1299881</xdr:colOff>
      <xdr:row>9</xdr:row>
      <xdr:rowOff>184736</xdr:rowOff>
    </xdr:to>
    <xdr:sp macro="[0]!CommandButton12_Click" textlink="">
      <xdr:nvSpPr>
        <xdr:cNvPr id="9" name="四角形: 角を丸くする 8">
          <a:extLst>
            <a:ext uri="{FF2B5EF4-FFF2-40B4-BE49-F238E27FC236}">
              <a16:creationId xmlns:a16="http://schemas.microsoft.com/office/drawing/2014/main" id="{D7A0995C-B640-444D-BEA9-AF3D3F16965C}"/>
            </a:ext>
          </a:extLst>
        </xdr:cNvPr>
        <xdr:cNvSpPr/>
      </xdr:nvSpPr>
      <xdr:spPr>
        <a:xfrm>
          <a:off x="12397546" y="1664552"/>
          <a:ext cx="2203717" cy="425184"/>
        </a:xfrm>
        <a:prstGeom prst="roundRect">
          <a:avLst/>
        </a:prstGeom>
        <a:solidFill>
          <a:srgbClr val="FF505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発注ボタン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149677</xdr:colOff>
      <xdr:row>15</xdr:row>
      <xdr:rowOff>179454</xdr:rowOff>
    </xdr:from>
    <xdr:to>
      <xdr:col>9</xdr:col>
      <xdr:colOff>549088</xdr:colOff>
      <xdr:row>35</xdr:row>
      <xdr:rowOff>97526</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81643</xdr:colOff>
      <xdr:row>6</xdr:row>
      <xdr:rowOff>45303</xdr:rowOff>
    </xdr:from>
    <xdr:to>
      <xdr:col>11</xdr:col>
      <xdr:colOff>50425</xdr:colOff>
      <xdr:row>7</xdr:row>
      <xdr:rowOff>103061</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3129643" y="1474053"/>
          <a:ext cx="273582" cy="295883"/>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１</a:t>
          </a:r>
        </a:p>
      </xdr:txBody>
    </xdr:sp>
    <xdr:clientData/>
  </xdr:twoCellAnchor>
  <xdr:twoCellAnchor>
    <xdr:from>
      <xdr:col>12</xdr:col>
      <xdr:colOff>1157248</xdr:colOff>
      <xdr:row>15</xdr:row>
      <xdr:rowOff>139592</xdr:rowOff>
    </xdr:from>
    <xdr:to>
      <xdr:col>13</xdr:col>
      <xdr:colOff>139912</xdr:colOff>
      <xdr:row>16</xdr:row>
      <xdr:rowOff>197351</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3967123" y="3711467"/>
          <a:ext cx="135189" cy="295884"/>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3</a:t>
          </a:r>
          <a:endParaRPr kumimoji="1" lang="ja-JP" altLang="en-US" sz="1600" b="1">
            <a:latin typeface="Meiryo UI" panose="020B0604030504040204" pitchFamily="50" charset="-128"/>
            <a:ea typeface="Meiryo UI" panose="020B0604030504040204" pitchFamily="50" charset="-128"/>
          </a:endParaRPr>
        </a:p>
      </xdr:txBody>
    </xdr:sp>
    <xdr:clientData/>
  </xdr:twoCellAnchor>
  <xdr:twoCellAnchor>
    <xdr:from>
      <xdr:col>13</xdr:col>
      <xdr:colOff>421822</xdr:colOff>
      <xdr:row>7</xdr:row>
      <xdr:rowOff>2185</xdr:rowOff>
    </xdr:from>
    <xdr:to>
      <xdr:col>16</xdr:col>
      <xdr:colOff>508907</xdr:colOff>
      <xdr:row>9</xdr:row>
      <xdr:rowOff>13072</xdr:rowOff>
    </xdr:to>
    <xdr:sp macro="[0]!CommandButton21_Click" textlink="">
      <xdr:nvSpPr>
        <xdr:cNvPr id="9" name="四角形: 角を丸くする 8">
          <a:extLst>
            <a:ext uri="{FF2B5EF4-FFF2-40B4-BE49-F238E27FC236}">
              <a16:creationId xmlns:a16="http://schemas.microsoft.com/office/drawing/2014/main" id="{389454FE-F594-41DE-9592-0124F8654F0F}"/>
            </a:ext>
          </a:extLst>
        </xdr:cNvPr>
        <xdr:cNvSpPr/>
      </xdr:nvSpPr>
      <xdr:spPr>
        <a:xfrm>
          <a:off x="10858501" y="1539792"/>
          <a:ext cx="2223406" cy="419101"/>
        </a:xfrm>
        <a:prstGeom prst="roundRect">
          <a:avLst/>
        </a:prstGeom>
        <a:solidFill>
          <a:schemeClr val="accent6"/>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発注</a:t>
          </a:r>
          <a:r>
            <a:rPr kumimoji="1" lang="en-US" altLang="ja-JP" sz="1400"/>
            <a:t>ID</a:t>
          </a:r>
          <a:r>
            <a:rPr kumimoji="1" lang="ja-JP" altLang="en-US" sz="1400"/>
            <a:t>セットボタン</a:t>
          </a:r>
        </a:p>
      </xdr:txBody>
    </xdr:sp>
    <xdr:clientData/>
  </xdr:twoCellAnchor>
  <xdr:twoCellAnchor>
    <xdr:from>
      <xdr:col>16</xdr:col>
      <xdr:colOff>808261</xdr:colOff>
      <xdr:row>7</xdr:row>
      <xdr:rowOff>2721</xdr:rowOff>
    </xdr:from>
    <xdr:to>
      <xdr:col>17</xdr:col>
      <xdr:colOff>1882588</xdr:colOff>
      <xdr:row>9</xdr:row>
      <xdr:rowOff>10346</xdr:rowOff>
    </xdr:to>
    <xdr:sp macro="[0]!CommandButton22_Click" textlink="">
      <xdr:nvSpPr>
        <xdr:cNvPr id="10" name="四角形: 角を丸くする 9">
          <a:extLst>
            <a:ext uri="{FF2B5EF4-FFF2-40B4-BE49-F238E27FC236}">
              <a16:creationId xmlns:a16="http://schemas.microsoft.com/office/drawing/2014/main" id="{66DE87D9-B21D-41DA-94E6-C752755B8F04}"/>
            </a:ext>
          </a:extLst>
        </xdr:cNvPr>
        <xdr:cNvSpPr/>
      </xdr:nvSpPr>
      <xdr:spPr>
        <a:xfrm>
          <a:off x="13414879" y="1504309"/>
          <a:ext cx="2194915" cy="411037"/>
        </a:xfrm>
        <a:prstGeom prst="roundRect">
          <a:avLst/>
        </a:prstGeom>
        <a:solidFill>
          <a:srgbClr val="FF505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発注ボタン</a:t>
          </a:r>
        </a:p>
      </xdr:txBody>
    </xdr:sp>
    <xdr:clientData/>
  </xdr:twoCellAnchor>
  <xdr:twoCellAnchor>
    <xdr:from>
      <xdr:col>13</xdr:col>
      <xdr:colOff>265258</xdr:colOff>
      <xdr:row>6</xdr:row>
      <xdr:rowOff>56028</xdr:rowOff>
    </xdr:from>
    <xdr:to>
      <xdr:col>13</xdr:col>
      <xdr:colOff>536599</xdr:colOff>
      <xdr:row>7</xdr:row>
      <xdr:rowOff>113786</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10701937" y="1389528"/>
          <a:ext cx="271341" cy="26186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2</a:t>
          </a:r>
          <a:endParaRPr kumimoji="1" lang="ja-JP" altLang="en-US" sz="1600" b="1">
            <a:latin typeface="Meiryo UI" panose="020B0604030504040204" pitchFamily="50" charset="-128"/>
            <a:ea typeface="Meiryo UI" panose="020B0604030504040204" pitchFamily="50" charset="-128"/>
          </a:endParaRPr>
        </a:p>
      </xdr:txBody>
    </xdr:sp>
    <xdr:clientData/>
  </xdr:twoCellAnchor>
  <xdr:twoCellAnchor>
    <xdr:from>
      <xdr:col>16</xdr:col>
      <xdr:colOff>668512</xdr:colOff>
      <xdr:row>6</xdr:row>
      <xdr:rowOff>55869</xdr:rowOff>
    </xdr:from>
    <xdr:to>
      <xdr:col>16</xdr:col>
      <xdr:colOff>939852</xdr:colOff>
      <xdr:row>7</xdr:row>
      <xdr:rowOff>113627</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13241512" y="1389369"/>
          <a:ext cx="271340" cy="26186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4</a:t>
          </a:r>
          <a:endParaRPr kumimoji="1" lang="ja-JP" altLang="en-US" sz="1600" b="1">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544286</xdr:colOff>
      <xdr:row>4</xdr:row>
      <xdr:rowOff>194982</xdr:rowOff>
    </xdr:from>
    <xdr:to>
      <xdr:col>10</xdr:col>
      <xdr:colOff>132068</xdr:colOff>
      <xdr:row>6</xdr:row>
      <xdr:rowOff>21418</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6716486" y="1147482"/>
          <a:ext cx="273582" cy="302686"/>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１</a:t>
          </a:r>
        </a:p>
      </xdr:txBody>
    </xdr:sp>
    <xdr:clientData/>
  </xdr:twoCellAnchor>
  <xdr:twoCellAnchor>
    <xdr:from>
      <xdr:col>10</xdr:col>
      <xdr:colOff>912320</xdr:colOff>
      <xdr:row>22</xdr:row>
      <xdr:rowOff>17128</xdr:rowOff>
    </xdr:from>
    <xdr:to>
      <xdr:col>11</xdr:col>
      <xdr:colOff>167127</xdr:colOff>
      <xdr:row>23</xdr:row>
      <xdr:rowOff>74887</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7541720" y="5255878"/>
          <a:ext cx="169207" cy="295884"/>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3</a:t>
          </a:r>
          <a:endParaRPr kumimoji="1" lang="ja-JP" altLang="en-US" sz="1600" b="1">
            <a:latin typeface="Meiryo UI" panose="020B0604030504040204" pitchFamily="50" charset="-128"/>
            <a:ea typeface="Meiryo UI" panose="020B0604030504040204" pitchFamily="50" charset="-128"/>
          </a:endParaRPr>
        </a:p>
      </xdr:txBody>
    </xdr:sp>
    <xdr:clientData/>
  </xdr:twoCellAnchor>
  <xdr:twoCellAnchor>
    <xdr:from>
      <xdr:col>9</xdr:col>
      <xdr:colOff>40827</xdr:colOff>
      <xdr:row>13</xdr:row>
      <xdr:rowOff>68040</xdr:rowOff>
    </xdr:from>
    <xdr:to>
      <xdr:col>11</xdr:col>
      <xdr:colOff>547011</xdr:colOff>
      <xdr:row>15</xdr:row>
      <xdr:rowOff>78927</xdr:rowOff>
    </xdr:to>
    <xdr:sp macro="[0]!CommandButton31_Click" textlink="">
      <xdr:nvSpPr>
        <xdr:cNvPr id="7" name="四角形: 角を丸くする 6">
          <a:extLst>
            <a:ext uri="{FF2B5EF4-FFF2-40B4-BE49-F238E27FC236}">
              <a16:creationId xmlns:a16="http://schemas.microsoft.com/office/drawing/2014/main" id="{56DD39B6-F10B-42AD-8511-59BAE942DC82}"/>
            </a:ext>
          </a:extLst>
        </xdr:cNvPr>
        <xdr:cNvSpPr/>
      </xdr:nvSpPr>
      <xdr:spPr>
        <a:xfrm>
          <a:off x="6585863" y="3469826"/>
          <a:ext cx="2207077" cy="419101"/>
        </a:xfrm>
        <a:prstGeom prst="roundRect">
          <a:avLst/>
        </a:prstGeom>
        <a:solidFill>
          <a:schemeClr val="accent6"/>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発注</a:t>
          </a:r>
          <a:r>
            <a:rPr kumimoji="1" lang="en-US" altLang="ja-JP" sz="1400"/>
            <a:t>ID</a:t>
          </a:r>
          <a:r>
            <a:rPr kumimoji="1" lang="ja-JP" altLang="en-US" sz="1400"/>
            <a:t>セットボタン</a:t>
          </a:r>
        </a:p>
      </xdr:txBody>
    </xdr:sp>
    <xdr:clientData/>
  </xdr:twoCellAnchor>
  <xdr:twoCellAnchor>
    <xdr:from>
      <xdr:col>11</xdr:col>
      <xdr:colOff>751115</xdr:colOff>
      <xdr:row>13</xdr:row>
      <xdr:rowOff>68576</xdr:rowOff>
    </xdr:from>
    <xdr:to>
      <xdr:col>14</xdr:col>
      <xdr:colOff>500745</xdr:colOff>
      <xdr:row>15</xdr:row>
      <xdr:rowOff>76201</xdr:rowOff>
    </xdr:to>
    <xdr:sp macro="[0]!CommandButton32_Click" textlink="">
      <xdr:nvSpPr>
        <xdr:cNvPr id="11" name="四角形: 角を丸くする 10">
          <a:extLst>
            <a:ext uri="{FF2B5EF4-FFF2-40B4-BE49-F238E27FC236}">
              <a16:creationId xmlns:a16="http://schemas.microsoft.com/office/drawing/2014/main" id="{A7C0C6D8-C101-4976-9B9B-A1A462075E16}"/>
            </a:ext>
          </a:extLst>
        </xdr:cNvPr>
        <xdr:cNvSpPr/>
      </xdr:nvSpPr>
      <xdr:spPr>
        <a:xfrm>
          <a:off x="9035144" y="3399605"/>
          <a:ext cx="2427515" cy="399510"/>
        </a:xfrm>
        <a:prstGeom prst="roundRect">
          <a:avLst/>
        </a:prstGeom>
        <a:solidFill>
          <a:srgbClr val="FF505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発注ボタン</a:t>
          </a:r>
        </a:p>
      </xdr:txBody>
    </xdr:sp>
    <xdr:clientData/>
  </xdr:twoCellAnchor>
  <xdr:twoCellAnchor>
    <xdr:from>
      <xdr:col>11</xdr:col>
      <xdr:colOff>601433</xdr:colOff>
      <xdr:row>12</xdr:row>
      <xdr:rowOff>150156</xdr:rowOff>
    </xdr:from>
    <xdr:to>
      <xdr:col>12</xdr:col>
      <xdr:colOff>26248</xdr:colOff>
      <xdr:row>14</xdr:row>
      <xdr:rowOff>3808</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8847362" y="3347835"/>
          <a:ext cx="268457" cy="261866"/>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4</a:t>
          </a:r>
          <a:endParaRPr kumimoji="1" lang="ja-JP" altLang="en-US" sz="1600" b="1">
            <a:latin typeface="Meiryo UI" panose="020B0604030504040204" pitchFamily="50" charset="-128"/>
            <a:ea typeface="Meiryo UI" panose="020B0604030504040204" pitchFamily="50" charset="-128"/>
          </a:endParaRPr>
        </a:p>
      </xdr:txBody>
    </xdr:sp>
    <xdr:clientData/>
  </xdr:twoCellAnchor>
  <xdr:twoCellAnchor>
    <xdr:from>
      <xdr:col>8</xdr:col>
      <xdr:colOff>522833</xdr:colOff>
      <xdr:row>12</xdr:row>
      <xdr:rowOff>136071</xdr:rowOff>
    </xdr:from>
    <xdr:to>
      <xdr:col>9</xdr:col>
      <xdr:colOff>108374</xdr:colOff>
      <xdr:row>13</xdr:row>
      <xdr:rowOff>193829</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6387512" y="3333750"/>
          <a:ext cx="265898" cy="26186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latin typeface="Meiryo UI" panose="020B0604030504040204" pitchFamily="50" charset="-128"/>
              <a:ea typeface="Meiryo UI" panose="020B0604030504040204" pitchFamily="50" charset="-128"/>
            </a:rPr>
            <a:t>2</a:t>
          </a:r>
          <a:endParaRPr kumimoji="1" lang="ja-JP" altLang="en-US" sz="16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rketspeed.jp/ms2_rss/onlinehelp/ohm_002/ohm_002_06.html" TargetMode="External"/><Relationship Id="rId2" Type="http://schemas.openxmlformats.org/officeDocument/2006/relationships/hyperlink" Target="https://marketspeed.jp/ms2_rss/onlinehelp/ohm_002/ohm_002_06.html" TargetMode="External"/><Relationship Id="rId1" Type="http://schemas.openxmlformats.org/officeDocument/2006/relationships/hyperlink" Target="https://marketspeed.jp/ms2_rss/onlinehelp/ohm_002/ohm_002_06.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marketspeed.jp/ms2_rss/onlinehel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G85"/>
  <sheetViews>
    <sheetView showGridLines="0" tabSelected="1" zoomScale="85" zoomScaleNormal="85" workbookViewId="0"/>
  </sheetViews>
  <sheetFormatPr defaultColWidth="4" defaultRowHeight="16.5"/>
  <cols>
    <col min="1" max="2" width="4" style="50"/>
    <col min="3" max="3" width="4" style="50" customWidth="1"/>
    <col min="4" max="4" width="2.5" style="50" customWidth="1"/>
    <col min="5" max="16384" width="4" style="50"/>
  </cols>
  <sheetData>
    <row r="2" spans="2:9" ht="19.5">
      <c r="B2" s="65" t="s">
        <v>202</v>
      </c>
    </row>
    <row r="4" spans="2:9" ht="19.5">
      <c r="C4" s="65" t="s">
        <v>201</v>
      </c>
    </row>
    <row r="5" spans="2:9">
      <c r="D5" s="67" t="s">
        <v>200</v>
      </c>
      <c r="E5" s="66" t="str">
        <f>HYPERLINK("#国内株発注①!A1","国内株発注①")</f>
        <v>国内株発注①</v>
      </c>
      <c r="I5" s="50" t="s">
        <v>210</v>
      </c>
    </row>
    <row r="6" spans="2:9">
      <c r="D6" s="67"/>
      <c r="E6" s="66"/>
      <c r="I6" s="50" t="s">
        <v>213</v>
      </c>
    </row>
    <row r="7" spans="2:9">
      <c r="D7" s="67"/>
      <c r="E7" s="66"/>
    </row>
    <row r="8" spans="2:9">
      <c r="D8" s="55" t="s">
        <v>199</v>
      </c>
      <c r="E8" s="66" t="str">
        <f>HYPERLINK("#国内株発注②!A1","国内株発注②")</f>
        <v>国内株発注②</v>
      </c>
      <c r="I8" s="50" t="s">
        <v>211</v>
      </c>
    </row>
    <row r="9" spans="2:9">
      <c r="D9" s="55"/>
      <c r="E9" s="66"/>
      <c r="I9" s="50" t="s">
        <v>213</v>
      </c>
    </row>
    <row r="10" spans="2:9">
      <c r="D10" s="55"/>
      <c r="E10" s="66"/>
    </row>
    <row r="11" spans="2:9">
      <c r="D11" s="55" t="s">
        <v>198</v>
      </c>
      <c r="E11" s="66" t="str">
        <f>HYPERLINK("#先物OP発注!A1","先物OP発注")</f>
        <v>先物OP発注</v>
      </c>
      <c r="I11" s="50" t="s">
        <v>212</v>
      </c>
    </row>
    <row r="12" spans="2:9">
      <c r="D12" s="55"/>
      <c r="E12" s="66"/>
      <c r="I12" s="50" t="s">
        <v>214</v>
      </c>
    </row>
    <row r="13" spans="2:9" ht="23.25" customHeight="1">
      <c r="D13" s="55"/>
      <c r="E13" s="66"/>
    </row>
    <row r="14" spans="2:9" ht="19.5">
      <c r="C14" s="65" t="s">
        <v>197</v>
      </c>
      <c r="D14" s="55"/>
    </row>
    <row r="15" spans="2:9">
      <c r="D15" s="58" t="s">
        <v>215</v>
      </c>
      <c r="E15" s="50" t="s">
        <v>216</v>
      </c>
    </row>
    <row r="16" spans="2:9">
      <c r="E16" s="50" t="s">
        <v>217</v>
      </c>
    </row>
    <row r="17" spans="3:9">
      <c r="D17" s="58" t="s">
        <v>215</v>
      </c>
      <c r="E17" s="50" t="s">
        <v>218</v>
      </c>
    </row>
    <row r="18" spans="3:9">
      <c r="E18" s="50" t="s">
        <v>219</v>
      </c>
    </row>
    <row r="19" spans="3:9">
      <c r="D19" s="58" t="s">
        <v>215</v>
      </c>
      <c r="E19" s="50" t="s">
        <v>220</v>
      </c>
    </row>
    <row r="20" spans="3:9">
      <c r="D20" s="64"/>
      <c r="E20" s="50" t="s">
        <v>221</v>
      </c>
    </row>
    <row r="21" spans="3:9" ht="23.25" customHeight="1">
      <c r="D21" s="64"/>
    </row>
    <row r="22" spans="3:9" ht="19.5">
      <c r="C22" s="65" t="s">
        <v>196</v>
      </c>
      <c r="D22" s="55"/>
    </row>
    <row r="23" spans="3:9">
      <c r="D23" s="64" t="s">
        <v>195</v>
      </c>
    </row>
    <row r="24" spans="3:9">
      <c r="D24" s="50" t="s">
        <v>206</v>
      </c>
    </row>
    <row r="25" spans="3:9" ht="19.5">
      <c r="C25" s="65"/>
      <c r="D25" s="55"/>
    </row>
    <row r="26" spans="3:9" ht="19.5">
      <c r="D26" s="65"/>
      <c r="E26" s="70"/>
      <c r="F26" s="71"/>
      <c r="G26" s="72"/>
      <c r="I26" s="50" t="s">
        <v>205</v>
      </c>
    </row>
    <row r="27" spans="3:9" ht="19.5">
      <c r="C27" s="65"/>
      <c r="D27" s="55"/>
    </row>
    <row r="28" spans="3:9" ht="19.5">
      <c r="D28" s="65"/>
      <c r="E28" s="7"/>
      <c r="F28" s="74"/>
      <c r="G28" s="75"/>
      <c r="I28" s="50" t="s">
        <v>207</v>
      </c>
    </row>
    <row r="29" spans="3:9" ht="19.5">
      <c r="C29" s="65"/>
      <c r="D29" s="55"/>
    </row>
    <row r="30" spans="3:9" ht="19.5">
      <c r="C30" s="65"/>
      <c r="D30" s="64" t="s">
        <v>209</v>
      </c>
    </row>
    <row r="31" spans="3:9" ht="19.5">
      <c r="C31" s="65"/>
      <c r="D31" s="64" t="s">
        <v>222</v>
      </c>
    </row>
    <row r="32" spans="3:9" ht="19.5">
      <c r="C32" s="65"/>
      <c r="D32" s="64"/>
    </row>
    <row r="33" spans="3:33">
      <c r="D33" s="55"/>
      <c r="E33" s="50" t="s">
        <v>194</v>
      </c>
    </row>
    <row r="34" spans="3:33">
      <c r="D34" s="55"/>
      <c r="E34" s="89" t="s">
        <v>53</v>
      </c>
      <c r="F34" s="89"/>
      <c r="G34" s="89" t="s">
        <v>52</v>
      </c>
      <c r="H34" s="89"/>
      <c r="I34" s="89"/>
      <c r="J34" s="89" t="s">
        <v>193</v>
      </c>
      <c r="K34" s="89"/>
      <c r="L34" s="89"/>
      <c r="M34" s="89"/>
      <c r="N34" s="89"/>
      <c r="O34" s="89"/>
      <c r="P34" s="89"/>
      <c r="Q34" s="89"/>
      <c r="R34" s="89"/>
      <c r="S34" s="89"/>
      <c r="T34" s="89"/>
      <c r="U34" s="89"/>
      <c r="V34" s="89"/>
      <c r="W34" s="89"/>
      <c r="X34" s="89"/>
      <c r="Y34" s="89"/>
      <c r="Z34" s="89"/>
      <c r="AA34" s="89"/>
      <c r="AB34" s="89"/>
      <c r="AC34" s="89"/>
    </row>
    <row r="35" spans="3:33" ht="30.75" customHeight="1">
      <c r="D35" s="55"/>
      <c r="E35" s="90" t="s">
        <v>153</v>
      </c>
      <c r="F35" s="90"/>
      <c r="G35" s="90" t="s">
        <v>72</v>
      </c>
      <c r="H35" s="90"/>
      <c r="I35" s="90"/>
      <c r="J35" s="91" t="s">
        <v>192</v>
      </c>
      <c r="K35" s="91"/>
      <c r="L35" s="91"/>
      <c r="M35" s="91"/>
      <c r="N35" s="91"/>
      <c r="O35" s="91"/>
      <c r="P35" s="91"/>
      <c r="Q35" s="91"/>
      <c r="R35" s="91"/>
      <c r="S35" s="91"/>
      <c r="T35" s="91"/>
      <c r="U35" s="91"/>
      <c r="V35" s="91"/>
      <c r="W35" s="91"/>
      <c r="X35" s="91"/>
      <c r="Y35" s="91"/>
      <c r="Z35" s="91"/>
      <c r="AA35" s="91"/>
      <c r="AB35" s="91"/>
      <c r="AC35" s="91"/>
      <c r="AD35" s="63"/>
      <c r="AE35" s="63"/>
      <c r="AG35" s="62"/>
    </row>
    <row r="36" spans="3:33" ht="30.75" customHeight="1">
      <c r="E36" s="90" t="s">
        <v>67</v>
      </c>
      <c r="F36" s="90"/>
      <c r="G36" s="90" t="s">
        <v>66</v>
      </c>
      <c r="H36" s="90"/>
      <c r="I36" s="90"/>
      <c r="J36" s="91" t="s">
        <v>191</v>
      </c>
      <c r="K36" s="91"/>
      <c r="L36" s="91"/>
      <c r="M36" s="91"/>
      <c r="N36" s="91"/>
      <c r="O36" s="91"/>
      <c r="P36" s="91"/>
      <c r="Q36" s="91"/>
      <c r="R36" s="91"/>
      <c r="S36" s="91"/>
      <c r="T36" s="91"/>
      <c r="U36" s="91"/>
      <c r="V36" s="91"/>
      <c r="W36" s="91"/>
      <c r="X36" s="91"/>
      <c r="Y36" s="91"/>
      <c r="Z36" s="91"/>
      <c r="AA36" s="91"/>
      <c r="AB36" s="91"/>
      <c r="AC36" s="91"/>
    </row>
    <row r="37" spans="3:33" s="57" customFormat="1"/>
    <row r="38" spans="3:33" s="57" customFormat="1">
      <c r="L38" s="57" t="s">
        <v>190</v>
      </c>
      <c r="V38" s="58"/>
      <c r="W38" s="58"/>
    </row>
    <row r="39" spans="3:33" s="57" customFormat="1">
      <c r="C39" s="61"/>
      <c r="E39" s="58"/>
      <c r="F39" s="58"/>
      <c r="G39" s="58"/>
      <c r="H39" s="58"/>
      <c r="I39" s="58"/>
      <c r="J39" s="58"/>
      <c r="K39" s="58"/>
      <c r="L39" s="57" t="s">
        <v>189</v>
      </c>
      <c r="O39" s="58"/>
      <c r="P39" s="58"/>
      <c r="Q39" s="58"/>
      <c r="R39" s="58"/>
      <c r="S39" s="58"/>
      <c r="T39" s="58"/>
      <c r="U39" s="58"/>
      <c r="V39" s="58"/>
      <c r="W39" s="58"/>
      <c r="AG39" s="60"/>
    </row>
    <row r="40" spans="3:33" s="57" customFormat="1">
      <c r="E40" s="58"/>
      <c r="F40" s="58"/>
      <c r="G40" s="58"/>
      <c r="H40" s="58"/>
      <c r="I40" s="58"/>
      <c r="J40" s="58"/>
      <c r="K40" s="58"/>
      <c r="L40" s="58"/>
      <c r="M40" s="58"/>
      <c r="N40" s="58"/>
      <c r="O40" s="58"/>
      <c r="AG40" s="60"/>
    </row>
    <row r="41" spans="3:33" s="57" customFormat="1">
      <c r="E41" s="58"/>
      <c r="F41" s="58"/>
      <c r="G41" s="58"/>
      <c r="H41" s="58"/>
      <c r="I41" s="58"/>
      <c r="J41" s="58"/>
      <c r="K41" s="58"/>
      <c r="L41" s="59" t="s">
        <v>188</v>
      </c>
      <c r="O41" s="58"/>
    </row>
    <row r="42" spans="3:33" ht="23.25" customHeight="1">
      <c r="E42" s="51"/>
      <c r="F42" s="51"/>
      <c r="G42" s="51"/>
      <c r="H42" s="51"/>
      <c r="I42" s="51"/>
      <c r="J42" s="51"/>
      <c r="K42" s="51"/>
      <c r="L42" s="51"/>
      <c r="M42" s="51"/>
      <c r="N42" s="51"/>
      <c r="O42" s="51"/>
    </row>
    <row r="43" spans="3:33">
      <c r="C43" s="56" t="s">
        <v>187</v>
      </c>
      <c r="E43" s="55"/>
    </row>
    <row r="44" spans="3:33">
      <c r="D44" s="50" t="s">
        <v>186</v>
      </c>
      <c r="G44" s="52"/>
      <c r="H44" s="51"/>
      <c r="I44" s="53"/>
      <c r="J44" s="52"/>
      <c r="K44" s="51"/>
      <c r="L44" s="51"/>
      <c r="M44" s="51"/>
    </row>
    <row r="45" spans="3:33">
      <c r="E45" s="66" t="s">
        <v>237</v>
      </c>
      <c r="G45" s="52"/>
      <c r="H45" s="51"/>
      <c r="I45" s="53"/>
      <c r="J45" s="52"/>
      <c r="K45" s="51"/>
      <c r="L45" s="51"/>
      <c r="M45" s="51"/>
    </row>
    <row r="46" spans="3:33">
      <c r="G46" s="52"/>
      <c r="H46" s="51"/>
      <c r="I46" s="53"/>
      <c r="J46" s="52"/>
      <c r="K46" s="51"/>
      <c r="L46" s="51"/>
      <c r="M46" s="51"/>
    </row>
    <row r="47" spans="3:33">
      <c r="D47" s="50" t="s">
        <v>185</v>
      </c>
      <c r="G47" s="52"/>
      <c r="H47" s="51"/>
      <c r="I47" s="53"/>
      <c r="J47" s="52"/>
      <c r="K47" s="51"/>
      <c r="L47" s="51"/>
      <c r="M47" s="51"/>
    </row>
    <row r="48" spans="3:33">
      <c r="E48" s="66" t="s">
        <v>184</v>
      </c>
      <c r="G48" s="52"/>
      <c r="H48" s="51"/>
      <c r="I48" s="53"/>
      <c r="J48" s="52"/>
      <c r="K48" s="51"/>
      <c r="L48" s="51"/>
      <c r="M48" s="51"/>
    </row>
    <row r="49" spans="5:23">
      <c r="E49" s="66" t="s">
        <v>183</v>
      </c>
      <c r="F49" s="54"/>
      <c r="G49" s="52"/>
      <c r="H49" s="51"/>
      <c r="I49" s="53"/>
      <c r="J49" s="52"/>
      <c r="K49" s="51"/>
      <c r="L49" s="51"/>
      <c r="M49" s="51"/>
    </row>
    <row r="50" spans="5:23">
      <c r="E50" s="66" t="s">
        <v>182</v>
      </c>
      <c r="G50" s="52"/>
      <c r="H50" s="51"/>
      <c r="I50" s="53"/>
      <c r="J50" s="52"/>
      <c r="K50" s="51"/>
      <c r="L50" s="51"/>
      <c r="M50" s="51"/>
    </row>
    <row r="51" spans="5:23">
      <c r="F51" s="54"/>
      <c r="G51" s="52"/>
      <c r="H51" s="51"/>
      <c r="I51" s="53"/>
      <c r="J51" s="52"/>
      <c r="K51" s="51"/>
      <c r="L51" s="51"/>
      <c r="M51" s="51"/>
    </row>
    <row r="52" spans="5:23">
      <c r="G52" s="52"/>
      <c r="H52" s="51"/>
      <c r="I52" s="53"/>
      <c r="J52" s="52"/>
      <c r="K52" s="51"/>
      <c r="L52" s="51"/>
      <c r="M52" s="51"/>
    </row>
    <row r="53" spans="5:23">
      <c r="F53" s="54"/>
      <c r="G53" s="52"/>
      <c r="H53" s="51"/>
      <c r="I53" s="53"/>
      <c r="J53" s="52"/>
      <c r="K53" s="51"/>
      <c r="L53" s="51"/>
      <c r="M53" s="51"/>
    </row>
    <row r="54" spans="5:23">
      <c r="H54" s="52"/>
      <c r="I54" s="51"/>
      <c r="J54" s="53"/>
      <c r="K54" s="52"/>
      <c r="L54" s="51"/>
    </row>
    <row r="55" spans="5:23">
      <c r="H55" s="52"/>
      <c r="I55" s="51"/>
      <c r="J55" s="53"/>
      <c r="K55" s="52"/>
      <c r="L55" s="51"/>
    </row>
    <row r="56" spans="5:23">
      <c r="H56" s="52"/>
      <c r="I56" s="51"/>
      <c r="J56" s="53"/>
      <c r="K56" s="52"/>
      <c r="L56" s="51"/>
    </row>
    <row r="57" spans="5:23">
      <c r="H57" s="52"/>
      <c r="I57" s="51"/>
      <c r="J57" s="53"/>
      <c r="K57" s="52"/>
      <c r="L57" s="51"/>
      <c r="Q57" s="52"/>
      <c r="R57" s="51"/>
      <c r="S57" s="53"/>
      <c r="T57" s="52"/>
      <c r="U57" s="51"/>
      <c r="V57" s="51"/>
      <c r="W57" s="51"/>
    </row>
    <row r="58" spans="5:23">
      <c r="H58" s="52"/>
      <c r="I58" s="51"/>
      <c r="J58" s="53"/>
      <c r="K58" s="52"/>
      <c r="L58" s="51"/>
      <c r="M58" s="51"/>
      <c r="N58" s="51"/>
      <c r="O58" s="51"/>
      <c r="P58" s="51"/>
      <c r="Q58" s="51"/>
      <c r="R58" s="51"/>
      <c r="S58" s="51"/>
      <c r="T58" s="51"/>
      <c r="U58" s="51"/>
      <c r="V58" s="51"/>
      <c r="W58" s="51"/>
    </row>
    <row r="59" spans="5:23">
      <c r="H59" s="52"/>
      <c r="I59" s="51"/>
      <c r="J59" s="53"/>
      <c r="K59" s="52"/>
      <c r="L59" s="51"/>
      <c r="M59" s="53"/>
    </row>
    <row r="60" spans="5:23">
      <c r="H60" s="52"/>
      <c r="I60" s="51"/>
      <c r="J60" s="53"/>
      <c r="K60" s="52"/>
      <c r="L60" s="51"/>
      <c r="M60" s="53"/>
    </row>
    <row r="61" spans="5:23">
      <c r="H61" s="52"/>
      <c r="I61" s="51"/>
      <c r="J61" s="53"/>
      <c r="K61" s="52"/>
      <c r="L61" s="51"/>
      <c r="M61" s="53"/>
    </row>
    <row r="62" spans="5:23">
      <c r="H62" s="52"/>
      <c r="I62" s="51"/>
      <c r="J62" s="53"/>
      <c r="K62" s="52"/>
      <c r="L62" s="51"/>
      <c r="M62" s="53"/>
    </row>
    <row r="63" spans="5:23">
      <c r="H63" s="52"/>
      <c r="I63" s="51"/>
      <c r="J63" s="53"/>
      <c r="K63" s="52"/>
      <c r="L63" s="51"/>
      <c r="M63" s="53"/>
    </row>
    <row r="64" spans="5:23">
      <c r="H64" s="52"/>
      <c r="I64" s="51"/>
      <c r="J64" s="53"/>
      <c r="K64" s="52"/>
      <c r="L64" s="51"/>
      <c r="M64" s="53"/>
    </row>
    <row r="65" spans="8:13">
      <c r="H65" s="52"/>
      <c r="I65" s="51"/>
      <c r="J65" s="53"/>
      <c r="K65" s="52"/>
      <c r="L65" s="51"/>
      <c r="M65" s="53"/>
    </row>
    <row r="66" spans="8:13">
      <c r="H66" s="52"/>
      <c r="I66" s="51"/>
      <c r="J66" s="53"/>
      <c r="K66" s="52"/>
      <c r="L66" s="51"/>
      <c r="M66" s="53"/>
    </row>
    <row r="67" spans="8:13">
      <c r="H67" s="52"/>
      <c r="I67" s="51"/>
      <c r="J67" s="53"/>
      <c r="K67" s="52"/>
      <c r="L67" s="51"/>
      <c r="M67" s="53"/>
    </row>
    <row r="68" spans="8:13">
      <c r="H68" s="52"/>
      <c r="I68" s="51"/>
      <c r="J68" s="53"/>
      <c r="K68" s="52"/>
      <c r="L68" s="51"/>
      <c r="M68" s="53"/>
    </row>
    <row r="69" spans="8:13">
      <c r="H69" s="52"/>
      <c r="I69" s="51"/>
      <c r="J69" s="53"/>
      <c r="K69" s="52"/>
      <c r="L69" s="51"/>
      <c r="M69" s="53"/>
    </row>
    <row r="70" spans="8:13">
      <c r="H70" s="52"/>
      <c r="I70" s="51"/>
      <c r="J70" s="53"/>
      <c r="K70" s="52"/>
      <c r="L70" s="51"/>
      <c r="M70" s="53"/>
    </row>
    <row r="71" spans="8:13">
      <c r="H71" s="52"/>
      <c r="I71" s="51"/>
      <c r="J71" s="53"/>
      <c r="K71" s="52"/>
      <c r="L71" s="51"/>
      <c r="M71" s="53"/>
    </row>
    <row r="72" spans="8:13">
      <c r="H72" s="52"/>
      <c r="I72" s="51"/>
      <c r="J72" s="53"/>
      <c r="K72" s="52"/>
      <c r="L72" s="51"/>
      <c r="M72" s="53"/>
    </row>
    <row r="73" spans="8:13">
      <c r="H73" s="52"/>
      <c r="I73" s="51"/>
      <c r="J73" s="53"/>
      <c r="K73" s="52"/>
      <c r="L73" s="51"/>
      <c r="M73" s="53"/>
    </row>
    <row r="74" spans="8:13">
      <c r="H74" s="52"/>
      <c r="I74" s="51"/>
      <c r="J74" s="53"/>
      <c r="K74" s="52"/>
      <c r="L74" s="51"/>
      <c r="M74" s="53"/>
    </row>
    <row r="75" spans="8:13">
      <c r="H75" s="52"/>
      <c r="I75" s="51"/>
      <c r="J75" s="53"/>
      <c r="K75" s="52"/>
      <c r="L75" s="51"/>
      <c r="M75" s="53"/>
    </row>
    <row r="76" spans="8:13">
      <c r="H76" s="52"/>
      <c r="I76" s="51"/>
      <c r="J76" s="53"/>
      <c r="K76" s="52"/>
      <c r="L76" s="51"/>
      <c r="M76" s="53"/>
    </row>
    <row r="77" spans="8:13">
      <c r="H77" s="52"/>
      <c r="I77" s="51"/>
      <c r="J77" s="53"/>
      <c r="K77" s="52"/>
      <c r="L77" s="51"/>
      <c r="M77" s="53"/>
    </row>
    <row r="78" spans="8:13">
      <c r="H78" s="52"/>
      <c r="I78" s="51"/>
      <c r="J78" s="53"/>
      <c r="K78" s="52"/>
      <c r="L78" s="51"/>
      <c r="M78" s="53"/>
    </row>
    <row r="79" spans="8:13">
      <c r="H79" s="52"/>
      <c r="I79" s="51"/>
      <c r="J79" s="53"/>
      <c r="K79" s="52"/>
      <c r="L79" s="51"/>
      <c r="M79" s="53"/>
    </row>
    <row r="80" spans="8:13">
      <c r="H80" s="52"/>
      <c r="I80" s="51"/>
      <c r="J80" s="53"/>
      <c r="K80" s="52"/>
      <c r="L80" s="51"/>
      <c r="M80" s="53"/>
    </row>
    <row r="81" spans="8:13">
      <c r="H81" s="52"/>
      <c r="I81" s="51"/>
      <c r="J81" s="53"/>
      <c r="K81" s="52"/>
      <c r="L81" s="51"/>
      <c r="M81" s="53"/>
    </row>
    <row r="82" spans="8:13">
      <c r="H82" s="52"/>
      <c r="I82" s="51"/>
      <c r="J82" s="53"/>
      <c r="K82" s="52"/>
      <c r="L82" s="51"/>
      <c r="M82" s="53"/>
    </row>
    <row r="83" spans="8:13">
      <c r="H83" s="52"/>
      <c r="I83" s="51"/>
      <c r="J83" s="53"/>
      <c r="K83" s="52"/>
      <c r="L83" s="51"/>
      <c r="M83" s="53"/>
    </row>
    <row r="84" spans="8:13">
      <c r="H84" s="52"/>
      <c r="I84" s="51"/>
      <c r="J84" s="53"/>
      <c r="K84" s="52"/>
      <c r="L84" s="51"/>
      <c r="M84" s="53"/>
    </row>
    <row r="85" spans="8:13">
      <c r="H85" s="52"/>
      <c r="I85" s="51"/>
      <c r="J85" s="53"/>
      <c r="K85" s="52"/>
      <c r="L85" s="51"/>
    </row>
  </sheetData>
  <mergeCells count="9">
    <mergeCell ref="J34:AC34"/>
    <mergeCell ref="E34:F34"/>
    <mergeCell ref="E35:F35"/>
    <mergeCell ref="E36:F36"/>
    <mergeCell ref="G34:I34"/>
    <mergeCell ref="G35:I35"/>
    <mergeCell ref="G36:I36"/>
    <mergeCell ref="J35:AC35"/>
    <mergeCell ref="J36:AC36"/>
  </mergeCells>
  <phoneticPr fontId="4"/>
  <conditionalFormatting sqref="E28:G28">
    <cfRule type="expression" dxfId="25" priority="1">
      <formula>$N$22&lt;&gt;1</formula>
    </cfRule>
  </conditionalFormatting>
  <hyperlinks>
    <hyperlink ref="E48" r:id="rId1" location="RssStockOrder"/>
    <hyperlink ref="E49" r:id="rId2" location="RssMarginOpenOrder"/>
    <hyperlink ref="E50" r:id="rId3" location="RssFOPOpenOrder"/>
    <hyperlink ref="E45" r:id="rId4"/>
  </hyperlinks>
  <pageMargins left="0.7" right="0.7" top="0.75" bottom="0.75" header="0.3" footer="0.3"/>
  <pageSetup orientation="portrait" r:id="rId5"/>
  <ignoredErrors>
    <ignoredError sqref="D5:D11" numberStoredAsText="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45"/>
  <sheetViews>
    <sheetView showGridLines="0" zoomScale="85" zoomScaleNormal="85" zoomScaleSheetLayoutView="100" workbookViewId="0"/>
  </sheetViews>
  <sheetFormatPr defaultColWidth="4" defaultRowHeight="15.75"/>
  <cols>
    <col min="1" max="1" width="4" style="1"/>
    <col min="2" max="2" width="16.375" style="1" customWidth="1"/>
    <col min="3" max="4" width="11.25" style="1" customWidth="1"/>
    <col min="5" max="5" width="8.25" style="1" bestFit="1" customWidth="1"/>
    <col min="6" max="8" width="11.25" style="1" customWidth="1"/>
    <col min="9" max="9" width="9" style="1" customWidth="1"/>
    <col min="10" max="10" width="8.375" style="1" bestFit="1" customWidth="1"/>
    <col min="11" max="11" width="16.875" style="1" bestFit="1" customWidth="1"/>
    <col min="12" max="12" width="10" style="1" bestFit="1" customWidth="1"/>
    <col min="13" max="13" width="9.625" style="1" bestFit="1" customWidth="1"/>
    <col min="14" max="14" width="9" style="1" customWidth="1"/>
    <col min="15" max="18" width="26.625" style="1" customWidth="1"/>
    <col min="19" max="16384" width="4" style="1"/>
  </cols>
  <sheetData>
    <row r="2" spans="2:21" ht="18">
      <c r="B2" s="30" t="s">
        <v>100</v>
      </c>
    </row>
    <row r="3" spans="2:21" ht="18">
      <c r="B3" s="30" t="s">
        <v>99</v>
      </c>
    </row>
    <row r="4" spans="2:21" ht="18">
      <c r="B4" s="30" t="s">
        <v>98</v>
      </c>
      <c r="O4" s="1" t="str">
        <f>_xll.RssCapacityList($O$5:$R$5)</f>
        <v>=RssCapacityList($O$5:$R$5) =&gt; 接続待ち</v>
      </c>
    </row>
    <row r="5" spans="2:21" ht="18">
      <c r="B5" s="30" t="s">
        <v>97</v>
      </c>
      <c r="O5" s="5" t="s">
        <v>96</v>
      </c>
      <c r="P5" s="5" t="s">
        <v>95</v>
      </c>
      <c r="Q5" s="5" t="s">
        <v>94</v>
      </c>
      <c r="R5" s="5" t="s">
        <v>93</v>
      </c>
    </row>
    <row r="6" spans="2:21">
      <c r="O6" s="29"/>
      <c r="P6" s="29"/>
      <c r="Q6" s="29"/>
      <c r="R6" s="88"/>
    </row>
    <row r="7" spans="2:21">
      <c r="C7" s="100" t="s">
        <v>92</v>
      </c>
      <c r="D7" s="100"/>
      <c r="E7" s="13" t="s">
        <v>91</v>
      </c>
      <c r="F7" s="13" t="s">
        <v>90</v>
      </c>
      <c r="O7" s="2" t="s">
        <v>240</v>
      </c>
      <c r="P7" s="2" t="s">
        <v>240</v>
      </c>
      <c r="Q7" s="2" t="s">
        <v>239</v>
      </c>
      <c r="R7" s="2" t="s">
        <v>239</v>
      </c>
      <c r="U7" s="28"/>
    </row>
    <row r="8" spans="2:21">
      <c r="B8" s="5" t="s">
        <v>89</v>
      </c>
      <c r="C8" s="101" t="str">
        <f>_xll.RssMarket($J$9,"銘柄名称")</f>
        <v/>
      </c>
      <c r="D8" s="101"/>
      <c r="E8" s="13" t="str">
        <f>_xll.RssMarket($J$9,"市場名称")</f>
        <v/>
      </c>
      <c r="F8" s="13" t="str">
        <f>IF(_xll.RssMarket($J$9,"信用貸借区分")=1,"貸借",IF(_xll.RssMarket($J$9,"信用貸借区分")=2,"信用",""))</f>
        <v/>
      </c>
      <c r="J8" s="100" t="s">
        <v>88</v>
      </c>
      <c r="K8" s="100"/>
      <c r="U8" s="28"/>
    </row>
    <row r="9" spans="2:21">
      <c r="J9" s="105"/>
      <c r="K9" s="105"/>
    </row>
    <row r="10" spans="2:21">
      <c r="B10" s="23" t="s">
        <v>87</v>
      </c>
      <c r="C10" s="22" t="str">
        <f>_xll.RssMarket($J$9,"現在値")</f>
        <v/>
      </c>
      <c r="D10" s="13" t="str">
        <f>_xll.RssMarket($J$9,"現在値時刻")</f>
        <v/>
      </c>
      <c r="E10" s="9" t="s">
        <v>86</v>
      </c>
      <c r="F10" s="10" t="str">
        <f>_xll.RssMarket($J$9,E10)</f>
        <v/>
      </c>
      <c r="G10" s="9" t="s">
        <v>85</v>
      </c>
      <c r="H10" s="10" t="str">
        <f>_xll.RssMarket($J$9,"出来高加重平均")</f>
        <v/>
      </c>
    </row>
    <row r="11" spans="2:21">
      <c r="B11" s="9" t="s">
        <v>84</v>
      </c>
      <c r="C11" s="22" t="str">
        <f>_xll.RssMarket($J$9,"最良売気配値")</f>
        <v/>
      </c>
      <c r="D11" s="13" t="str">
        <f>_xll.RssMarket($J$9,"最良売気配時刻")</f>
        <v/>
      </c>
      <c r="E11" s="9" t="s">
        <v>83</v>
      </c>
      <c r="F11" s="83" t="e">
        <f>_xll.RssMarket($J$9,E11)/100</f>
        <v>#VALUE!</v>
      </c>
      <c r="G11" s="5" t="s">
        <v>242</v>
      </c>
      <c r="H11" s="84" t="str">
        <f>_xll.RssMarket($J$9,"時価総額")</f>
        <v/>
      </c>
      <c r="J11" s="27" t="s">
        <v>82</v>
      </c>
      <c r="K11" s="26" t="str">
        <f>IF(L19=0,_xll.RssStockOrder(L13,L14,L15,L20,L21,L22,L24,L25,L26,L27,L28,L29,L30,L31,L32,L33,L34,L36,L37,L38),IF(L19=1,_xll.RssMarginOpenOrder(L13,L14,L15,L20,L21,L22,L23,L24,L25,L26,L27,L28,L29,L30,L31,L32,L33,L34,L35,L36,L37,L38),"注文種類を選んでください"))</f>
        <v>=IF(L19=0,RssStockOrder(L13,L14,L15,L20,L21,L22,L24,L25,L26,L27,L28,L29,L30,L31,L32,L33,L34,L36,L37,L38),IF(L19=1,RssMarginOpenOrder(L13,L14,L15,L20,L21,L22,L23,L24,L25,L26,L27,L28,L29,L30,L31,L32,L33,L34,L35,L36,L37,L38),"注文種類を選んでください")) =&gt; 入力エラー：発注IDは、1以上の数値で入力してください。</v>
      </c>
      <c r="L11" s="25" t="str">
        <f>RIGHT(K11,LEN(K11)-238)</f>
        <v xml:space="preserve"> =&gt; 入力エラー：発注IDは、1以上の数値で入力してください。</v>
      </c>
      <c r="M11" s="20"/>
      <c r="N11" s="20"/>
      <c r="O11" s="20"/>
      <c r="P11" s="20"/>
      <c r="Q11" s="20"/>
    </row>
    <row r="12" spans="2:21">
      <c r="B12" s="9" t="s">
        <v>81</v>
      </c>
      <c r="C12" s="22" t="str">
        <f>_xll.RssMarket($J$9,"最良買気配値")</f>
        <v/>
      </c>
      <c r="D12" s="13" t="str">
        <f>_xll.RssMarket($J$9,"最良買気配時刻")</f>
        <v/>
      </c>
      <c r="E12" s="23" t="s">
        <v>80</v>
      </c>
      <c r="F12" s="84" t="str">
        <f>_xll.RssMarket($J$9,E12)</f>
        <v/>
      </c>
      <c r="G12" s="5" t="s">
        <v>79</v>
      </c>
      <c r="H12" s="86" t="str">
        <f>_xll.RssMarket($J$9,G12)</f>
        <v/>
      </c>
      <c r="J12" s="14" t="s">
        <v>53</v>
      </c>
      <c r="K12" s="16" t="s">
        <v>52</v>
      </c>
      <c r="L12" s="24" t="s">
        <v>78</v>
      </c>
      <c r="M12" s="14" t="s">
        <v>50</v>
      </c>
      <c r="N12" s="96" t="s">
        <v>77</v>
      </c>
      <c r="O12" s="89"/>
      <c r="P12" s="89"/>
      <c r="Q12" s="89"/>
      <c r="R12" s="89"/>
    </row>
    <row r="13" spans="2:21">
      <c r="B13" s="9" t="s">
        <v>76</v>
      </c>
      <c r="C13" s="22" t="str">
        <f>_xll.RssMarket($J$9,"始値")</f>
        <v/>
      </c>
      <c r="D13" s="13" t="str">
        <f>_xll.RssMarket($J$9,"始値時刻")</f>
        <v/>
      </c>
      <c r="E13" s="23" t="s">
        <v>75</v>
      </c>
      <c r="F13" s="10" t="str">
        <f>_xll.RssMarket($J$9,E13)</f>
        <v/>
      </c>
      <c r="G13" s="5" t="s">
        <v>74</v>
      </c>
      <c r="H13" s="86" t="str">
        <f>_xll.RssMarket($J$9,G13)</f>
        <v/>
      </c>
      <c r="J13" s="9" t="s">
        <v>73</v>
      </c>
      <c r="K13" s="8" t="s">
        <v>72</v>
      </c>
      <c r="L13" s="19"/>
      <c r="M13" s="6" t="s">
        <v>70</v>
      </c>
      <c r="N13" s="92" t="s">
        <v>69</v>
      </c>
      <c r="O13" s="93"/>
      <c r="P13" s="93"/>
      <c r="Q13" s="93"/>
      <c r="R13" s="93"/>
    </row>
    <row r="14" spans="2:21">
      <c r="B14" s="9" t="s">
        <v>68</v>
      </c>
      <c r="C14" s="22" t="str">
        <f>_xll.RssMarket($J$9,"高値")</f>
        <v/>
      </c>
      <c r="D14" s="13" t="str">
        <f>_xll.RssMarket($J$9,"高値時刻")</f>
        <v/>
      </c>
      <c r="E14" s="23" t="s">
        <v>58</v>
      </c>
      <c r="F14" s="84" t="str">
        <f>_xll.RssMarket($J$9,E14)</f>
        <v/>
      </c>
      <c r="J14" s="9" t="s">
        <v>67</v>
      </c>
      <c r="K14" s="8" t="s">
        <v>66</v>
      </c>
      <c r="L14" s="19">
        <v>0</v>
      </c>
      <c r="M14" s="6" t="str">
        <f>IF(ISBLANK(L14),"待機中",IF(OR(L14=0,L14=FALSE),"待機中",IF(OR(L14=1,L14=TRUE),"発注","")))</f>
        <v>待機中</v>
      </c>
      <c r="N14" s="92" t="s">
        <v>64</v>
      </c>
      <c r="O14" s="93"/>
      <c r="P14" s="93"/>
      <c r="Q14" s="93"/>
      <c r="R14" s="93"/>
    </row>
    <row r="15" spans="2:21">
      <c r="B15" s="9" t="s">
        <v>63</v>
      </c>
      <c r="C15" s="22" t="str">
        <f>_xll.RssMarket($J$9,"安値")</f>
        <v/>
      </c>
      <c r="D15" s="13" t="str">
        <f>_xll.RssMarket($J$9,"安値時刻")</f>
        <v/>
      </c>
      <c r="E15" s="9" t="s">
        <v>241</v>
      </c>
      <c r="F15" s="84" t="str">
        <f>_xll.RssMarket($J$9,"売買代金")</f>
        <v/>
      </c>
      <c r="H15" s="21"/>
      <c r="I15" s="20"/>
      <c r="J15" s="9" t="s">
        <v>62</v>
      </c>
      <c r="K15" s="8" t="s">
        <v>61</v>
      </c>
      <c r="L15" s="19">
        <f>J9</f>
        <v>0</v>
      </c>
      <c r="M15" s="6" t="str">
        <f>_xll.RssMarket($J$9,"銘柄名称")</f>
        <v/>
      </c>
      <c r="N15" s="92" t="s">
        <v>60</v>
      </c>
      <c r="O15" s="93"/>
      <c r="P15" s="93"/>
      <c r="Q15" s="93"/>
      <c r="R15" s="93"/>
    </row>
    <row r="16" spans="2:21">
      <c r="K16" s="18"/>
      <c r="L16" s="17"/>
    </row>
    <row r="17" spans="2:18">
      <c r="B17" s="1" t="str">
        <f>_xll.RssTickList(B18:D18,$J$9,20)</f>
        <v>=RssTickList(B18:D18,$J$9,20) =&gt; マーケットスピード II にログインして「接続中」の状態に変更してから利用してください。</v>
      </c>
    </row>
    <row r="18" spans="2:18">
      <c r="B18" s="13" t="s">
        <v>59</v>
      </c>
      <c r="C18" s="13" t="s">
        <v>58</v>
      </c>
      <c r="D18" s="13" t="s">
        <v>57</v>
      </c>
      <c r="F18" s="13" t="s">
        <v>56</v>
      </c>
      <c r="G18" s="13" t="s">
        <v>55</v>
      </c>
      <c r="H18" s="13" t="s">
        <v>54</v>
      </c>
      <c r="J18" s="14" t="s">
        <v>53</v>
      </c>
      <c r="K18" s="16" t="s">
        <v>52</v>
      </c>
      <c r="L18" s="15" t="s">
        <v>51</v>
      </c>
      <c r="M18" s="14" t="s">
        <v>50</v>
      </c>
      <c r="N18" s="96" t="s">
        <v>49</v>
      </c>
      <c r="O18" s="89"/>
      <c r="P18" s="89"/>
      <c r="Q18" s="89"/>
      <c r="R18" s="89"/>
    </row>
    <row r="19" spans="2:18">
      <c r="B19" s="10"/>
      <c r="C19" s="5"/>
      <c r="D19" s="5"/>
      <c r="F19" s="3" t="str">
        <f>_xll.RssMarket($J$9,"売成行数量")</f>
        <v/>
      </c>
      <c r="G19" s="13" t="s">
        <v>48</v>
      </c>
      <c r="H19" s="3" t="str">
        <f>_xll.RssMarket($J$9,"買成行数量")</f>
        <v/>
      </c>
      <c r="J19" s="13" t="s">
        <v>47</v>
      </c>
      <c r="K19" s="5" t="s">
        <v>46</v>
      </c>
      <c r="L19" s="11"/>
      <c r="M19" s="6" t="str">
        <f>IF(ISBLANK(L19),"",IF(L19=0,"現物取引",IF(L19=1,"信用取引","")))</f>
        <v/>
      </c>
      <c r="N19" s="93" t="s">
        <v>45</v>
      </c>
      <c r="O19" s="93"/>
      <c r="P19" s="93"/>
      <c r="Q19" s="93"/>
      <c r="R19" s="93"/>
    </row>
    <row r="20" spans="2:18">
      <c r="B20" s="10"/>
      <c r="C20" s="5"/>
      <c r="D20" s="5"/>
      <c r="F20" s="3" t="str">
        <f>_xll.RssMarket($J$9,"OVER気配数量")</f>
        <v/>
      </c>
      <c r="G20" s="5" t="s">
        <v>44</v>
      </c>
      <c r="H20" s="5"/>
      <c r="J20" s="9" t="s">
        <v>43</v>
      </c>
      <c r="K20" s="8" t="s">
        <v>42</v>
      </c>
      <c r="L20" s="11"/>
      <c r="M20" s="6" t="str">
        <f>IF(ISBLANK(L20),"",IF(L20=1,"売り注文",IF(L20=3,"買い注文","")))</f>
        <v/>
      </c>
      <c r="N20" s="94" t="s">
        <v>41</v>
      </c>
      <c r="O20" s="95"/>
      <c r="P20" s="95"/>
      <c r="Q20" s="95"/>
      <c r="R20" s="92"/>
    </row>
    <row r="21" spans="2:18">
      <c r="B21" s="10"/>
      <c r="C21" s="5"/>
      <c r="D21" s="5"/>
      <c r="F21" s="3" t="str">
        <f>_xll.RssMarket($J$9,"最良売気配数量10")</f>
        <v/>
      </c>
      <c r="G21" s="3" t="str">
        <f>_xll.RssMarket($J$9,"最良売気配値10")</f>
        <v/>
      </c>
      <c r="H21" s="5"/>
      <c r="J21" s="9" t="s">
        <v>40</v>
      </c>
      <c r="K21" s="8" t="s">
        <v>39</v>
      </c>
      <c r="L21" s="11"/>
      <c r="M21" s="6" t="str">
        <f>IF(ISBLANK(L21),"",IF(L21=0,"通常注文",IF(L21=1,"逆指付通常",IF(L21=2,"逆指値注文",""))))</f>
        <v/>
      </c>
      <c r="N21" s="94" t="s">
        <v>37</v>
      </c>
      <c r="O21" s="95"/>
      <c r="P21" s="95"/>
      <c r="Q21" s="95"/>
      <c r="R21" s="92"/>
    </row>
    <row r="22" spans="2:18">
      <c r="B22" s="10"/>
      <c r="C22" s="5"/>
      <c r="D22" s="5"/>
      <c r="F22" s="3" t="str">
        <f>_xll.RssMarket($J$9,"最良売気配数量9")</f>
        <v/>
      </c>
      <c r="G22" s="3" t="str">
        <f>_xll.RssMarket($J$9,"最良売気配値9")</f>
        <v/>
      </c>
      <c r="H22" s="5"/>
      <c r="J22" s="9" t="s">
        <v>36</v>
      </c>
      <c r="K22" s="8" t="s">
        <v>35</v>
      </c>
      <c r="L22" s="11"/>
      <c r="M22" s="6" t="str">
        <f>IF(ISBLANK(L22),"",IF(L22=0,"通常注文",IF(L22=1,"SOR注文","")))</f>
        <v/>
      </c>
      <c r="N22" s="94" t="s">
        <v>34</v>
      </c>
      <c r="O22" s="95"/>
      <c r="P22" s="95"/>
      <c r="Q22" s="95"/>
      <c r="R22" s="92"/>
    </row>
    <row r="23" spans="2:18">
      <c r="B23" s="10"/>
      <c r="C23" s="5"/>
      <c r="D23" s="5"/>
      <c r="F23" s="3" t="str">
        <f>_xll.RssMarket($J$9,"最良売気配数量8")</f>
        <v/>
      </c>
      <c r="G23" s="3" t="str">
        <f>_xll.RssMarket($J$9,"最良売気配値8")</f>
        <v/>
      </c>
      <c r="H23" s="5"/>
      <c r="J23" s="9" t="str">
        <f>IF(L19=0,"",IF(L19=1,"第7引数"))</f>
        <v/>
      </c>
      <c r="K23" s="9" t="str">
        <f>IF(L19=0,"",IF(L19=1,"信用区分"))</f>
        <v/>
      </c>
      <c r="L23" s="11"/>
      <c r="M23" s="5" t="str">
        <f>IF(ISBLANK(L23),"",IF(L23=1,"制度（6ヶ月）",IF(L23=2,"一般（無制限）",IF(L23=3,"一般（14日）",IF(L23=4,"一般（いちにち）","")))))</f>
        <v/>
      </c>
      <c r="N23" s="94" t="str">
        <f>IF(L19=0,"",IF(L19=1,"1：制度信用（6ヶ月）、 2：一般信用（無制限）、 3：一般信用（14日）、 4：一般信用（いちにち）"))</f>
        <v/>
      </c>
      <c r="O23" s="95"/>
      <c r="P23" s="95"/>
      <c r="Q23" s="95"/>
      <c r="R23" s="92"/>
    </row>
    <row r="24" spans="2:18">
      <c r="B24" s="10"/>
      <c r="C24" s="5"/>
      <c r="D24" s="5"/>
      <c r="F24" s="3" t="str">
        <f>_xll.RssMarket($J$9,"最良売気配数量7")</f>
        <v/>
      </c>
      <c r="G24" s="3" t="str">
        <f>_xll.RssMarket($J$9,"最良売気配値7")</f>
        <v/>
      </c>
      <c r="H24" s="5"/>
      <c r="J24" s="9" t="str">
        <f>IF(L19=0,"第7引数",IF(L19=1,"第8引数"))</f>
        <v>第7引数</v>
      </c>
      <c r="K24" s="8" t="s">
        <v>33</v>
      </c>
      <c r="L24" s="7"/>
      <c r="M24" s="6" t="s">
        <v>32</v>
      </c>
      <c r="N24" s="94" t="s">
        <v>31</v>
      </c>
      <c r="O24" s="95"/>
      <c r="P24" s="95"/>
      <c r="Q24" s="95"/>
      <c r="R24" s="92"/>
    </row>
    <row r="25" spans="2:18" ht="18.75" customHeight="1">
      <c r="B25" s="10"/>
      <c r="C25" s="5"/>
      <c r="D25" s="5"/>
      <c r="F25" s="3" t="str">
        <f>_xll.RssMarket($J$9,"最良売気配数量6")</f>
        <v/>
      </c>
      <c r="G25" s="3" t="str">
        <f>_xll.RssMarket($J$9,"最良売気配値6")</f>
        <v/>
      </c>
      <c r="H25" s="5"/>
      <c r="J25" s="9" t="str">
        <f>IF(L19=0,"第8引数",IF(L19=1,"第9引数"))</f>
        <v>第8引数</v>
      </c>
      <c r="K25" s="8" t="s">
        <v>30</v>
      </c>
      <c r="L25" s="11"/>
      <c r="M25" s="6" t="str">
        <f>IF(OR(ISBLANK(L25),L21=2),"",IF(L25=0,"成行",IF(L25=1,"指値","")))</f>
        <v/>
      </c>
      <c r="N25" s="98" t="s">
        <v>28</v>
      </c>
      <c r="O25" s="99"/>
      <c r="P25" s="99"/>
      <c r="Q25" s="99"/>
      <c r="R25" s="97"/>
    </row>
    <row r="26" spans="2:18" ht="18.75" customHeight="1">
      <c r="B26" s="10"/>
      <c r="C26" s="5"/>
      <c r="D26" s="5"/>
      <c r="F26" s="3" t="str">
        <f>_xll.RssMarket($J$9,"最良売気配数量5")</f>
        <v/>
      </c>
      <c r="G26" s="3" t="str">
        <f>_xll.RssMarket($J$9,"最良売気配値5")</f>
        <v/>
      </c>
      <c r="H26" s="5"/>
      <c r="J26" s="9" t="str">
        <f>IF(L19=0,"第9引数",IF(L19=1,"第10引数"))</f>
        <v>第9引数</v>
      </c>
      <c r="K26" s="8" t="s">
        <v>27</v>
      </c>
      <c r="L26" s="7"/>
      <c r="M26" s="6" t="str">
        <f>IF(OR(L25&lt;&gt;1,L21=2),"","-")</f>
        <v/>
      </c>
      <c r="N26" s="94" t="s">
        <v>26</v>
      </c>
      <c r="O26" s="95"/>
      <c r="P26" s="95"/>
      <c r="Q26" s="95"/>
      <c r="R26" s="92"/>
    </row>
    <row r="27" spans="2:18">
      <c r="B27" s="10"/>
      <c r="C27" s="5"/>
      <c r="D27" s="5"/>
      <c r="F27" s="3" t="str">
        <f>_xll.RssMarket($J$9,"最良売気配数量4")</f>
        <v/>
      </c>
      <c r="G27" s="3" t="str">
        <f>_xll.RssMarket($J$9,"最良売気配値4")</f>
        <v/>
      </c>
      <c r="H27" s="5"/>
      <c r="J27" s="9" t="str">
        <f>IF(L19=0,"第10引数",IF(L19=1,"第11引数"))</f>
        <v>第10引数</v>
      </c>
      <c r="K27" s="8" t="s">
        <v>25</v>
      </c>
      <c r="L27" s="11"/>
      <c r="M27" s="6" t="str">
        <f>IF(ISBLANK(L27),"",IF(L27=1,"本日中",IF(L27=2,"今週中",IF(L27=3,"寄付",IF(L27=4,"引け",IF(L27=5,"期間指定",IF(L27=6,"大引け不成",IF(L27=7,"不成",""))))))))</f>
        <v/>
      </c>
      <c r="N27" s="94" t="s">
        <v>234</v>
      </c>
      <c r="O27" s="95"/>
      <c r="P27" s="95"/>
      <c r="Q27" s="95"/>
      <c r="R27" s="92"/>
    </row>
    <row r="28" spans="2:18" ht="18.75" customHeight="1">
      <c r="B28" s="10"/>
      <c r="C28" s="5"/>
      <c r="D28" s="5"/>
      <c r="F28" s="3" t="str">
        <f>_xll.RssMarket($J$9,"最良売気配数量3")</f>
        <v/>
      </c>
      <c r="G28" s="3" t="str">
        <f>_xll.RssMarket($J$9,"最良売気配値3")</f>
        <v/>
      </c>
      <c r="H28" s="5"/>
      <c r="J28" s="9" t="str">
        <f>IF(L19=0,"第11引数",IF(L19=1,"第12引数"))</f>
        <v>第11引数</v>
      </c>
      <c r="K28" s="8" t="s">
        <v>24</v>
      </c>
      <c r="L28" s="7"/>
      <c r="M28" s="6" t="str">
        <f>IF(L27&lt;&gt;5,"","ー")</f>
        <v/>
      </c>
      <c r="N28" s="94" t="s">
        <v>22</v>
      </c>
      <c r="O28" s="95"/>
      <c r="P28" s="95"/>
      <c r="Q28" s="95"/>
      <c r="R28" s="92"/>
    </row>
    <row r="29" spans="2:18" ht="18.75" customHeight="1">
      <c r="B29" s="10"/>
      <c r="C29" s="5"/>
      <c r="D29" s="5"/>
      <c r="F29" s="3" t="str">
        <f>_xll.RssMarket($J$9,"最良売気配数量2")</f>
        <v/>
      </c>
      <c r="G29" s="3" t="str">
        <f>_xll.RssMarket($J$9,"最良売気配値2")</f>
        <v/>
      </c>
      <c r="H29" s="5"/>
      <c r="J29" s="9" t="str">
        <f>IF(L19=0,"第12引数",IF(L19=1,"第13引数"))</f>
        <v>第12引数</v>
      </c>
      <c r="K29" s="8" t="s">
        <v>21</v>
      </c>
      <c r="L29" s="11"/>
      <c r="M29" s="6" t="str">
        <f>IF(ISBLANK(L29),"",IF(L29=0,"特定",IF(L29=1,"一般",IF(L29=2,"NISA",""))))</f>
        <v/>
      </c>
      <c r="N29" s="102" t="s">
        <v>20</v>
      </c>
      <c r="O29" s="103"/>
      <c r="P29" s="103"/>
      <c r="Q29" s="103"/>
      <c r="R29" s="104"/>
    </row>
    <row r="30" spans="2:18">
      <c r="B30" s="10"/>
      <c r="C30" s="5"/>
      <c r="D30" s="5"/>
      <c r="F30" s="3" t="str">
        <f>_xll.RssMarket($J$9,"最良売気配数量1")</f>
        <v/>
      </c>
      <c r="G30" s="3" t="str">
        <f>_xll.RssMarket($J$9,"最良売気配値1")</f>
        <v/>
      </c>
      <c r="H30" s="5"/>
      <c r="J30" s="9" t="str">
        <f>IF(L19=0,"第13引数",IF(L19=1,"第14引数"))</f>
        <v>第13引数</v>
      </c>
      <c r="K30" s="8" t="s">
        <v>19</v>
      </c>
      <c r="L30" s="7"/>
      <c r="M30" s="6" t="str">
        <f>IF(AND(L21&lt;&gt;1,L21&lt;&gt;2),"","ー")</f>
        <v/>
      </c>
      <c r="N30" s="94" t="s">
        <v>17</v>
      </c>
      <c r="O30" s="95"/>
      <c r="P30" s="95"/>
      <c r="Q30" s="95"/>
      <c r="R30" s="92"/>
    </row>
    <row r="31" spans="2:18">
      <c r="B31" s="10"/>
      <c r="C31" s="5"/>
      <c r="D31" s="5"/>
      <c r="F31" s="5"/>
      <c r="G31" s="3" t="str">
        <f>_xll.RssMarket($J$9,"最良買気配値1")</f>
        <v/>
      </c>
      <c r="H31" s="3" t="str">
        <f>_xll.RssMarket($J$9,"最良買気配数量1")</f>
        <v/>
      </c>
      <c r="J31" s="9" t="str">
        <f>IF(L19=0,"第14引数",IF(L19=1,"第15引数"))</f>
        <v>第14引数</v>
      </c>
      <c r="K31" s="8" t="s">
        <v>16</v>
      </c>
      <c r="L31" s="7"/>
      <c r="M31" s="6" t="str">
        <f>IF(AND(L21&lt;&gt;1,L21&lt;&gt;2),"",IF(ISBLANK(L31),"",IF(L31=1,"以上",IF(L31=2,"以下",""))))</f>
        <v/>
      </c>
      <c r="N31" s="94" t="s">
        <v>14</v>
      </c>
      <c r="O31" s="95"/>
      <c r="P31" s="95"/>
      <c r="Q31" s="95"/>
      <c r="R31" s="92"/>
    </row>
    <row r="32" spans="2:18" ht="18.75" customHeight="1">
      <c r="B32" s="10"/>
      <c r="C32" s="5"/>
      <c r="D32" s="5"/>
      <c r="F32" s="5"/>
      <c r="G32" s="3" t="str">
        <f>_xll.RssMarket($J$9,"最良買気配値2")</f>
        <v/>
      </c>
      <c r="H32" s="3" t="str">
        <f>_xll.RssMarket($J$9,"最良買気配数量2")</f>
        <v/>
      </c>
      <c r="J32" s="9" t="str">
        <f>IF(L19=0,"第15引数",IF(L19=1,"第16引数"))</f>
        <v>第15引数</v>
      </c>
      <c r="K32" s="8" t="s">
        <v>13</v>
      </c>
      <c r="L32" s="7"/>
      <c r="M32" s="6" t="str">
        <f>IF(AND(L21&lt;&gt;1,L21&lt;&gt;2),"",IF(ISBLANK(L32),"",IF(L32=0,"成行",IF(L32=1,"指値",""))))</f>
        <v/>
      </c>
      <c r="N32" s="98" t="s">
        <v>11</v>
      </c>
      <c r="O32" s="99"/>
      <c r="P32" s="99"/>
      <c r="Q32" s="99"/>
      <c r="R32" s="97"/>
    </row>
    <row r="33" spans="2:18" ht="18.75" customHeight="1">
      <c r="B33" s="10"/>
      <c r="C33" s="5"/>
      <c r="D33" s="5"/>
      <c r="F33" s="5"/>
      <c r="G33" s="3" t="str">
        <f>_xll.RssMarket($J$9,"最良買気配値3")</f>
        <v/>
      </c>
      <c r="H33" s="3" t="str">
        <f>_xll.RssMarket($J$9,"最良買気配数量3")</f>
        <v/>
      </c>
      <c r="J33" s="9" t="str">
        <f>IF(L19=0,"第16引数",IF(L19=1,"第17引数"))</f>
        <v>第16引数</v>
      </c>
      <c r="K33" s="8" t="s">
        <v>10</v>
      </c>
      <c r="L33" s="7"/>
      <c r="M33" s="6" t="str">
        <f>IF(OR(AND(L21&lt;&gt;1,L21&lt;&gt;2),L32&lt;&gt;1),"","ー")</f>
        <v/>
      </c>
      <c r="N33" s="94" t="s">
        <v>8</v>
      </c>
      <c r="O33" s="95"/>
      <c r="P33" s="95"/>
      <c r="Q33" s="95"/>
      <c r="R33" s="92"/>
    </row>
    <row r="34" spans="2:18" ht="18.75" customHeight="1">
      <c r="B34" s="10"/>
      <c r="C34" s="5"/>
      <c r="D34" s="5"/>
      <c r="F34" s="5"/>
      <c r="G34" s="3" t="str">
        <f>_xll.RssMarket($J$9,"最良買気配値4")</f>
        <v/>
      </c>
      <c r="H34" s="3" t="str">
        <f>_xll.RssMarket($J$9,"最良買気配数量4")</f>
        <v/>
      </c>
      <c r="J34" s="9" t="str">
        <f>IF(L19=0,"第17引数",IF(L19=1,"第18引数"))</f>
        <v>第17引数</v>
      </c>
      <c r="K34" s="8" t="s">
        <v>7</v>
      </c>
      <c r="L34" s="7"/>
      <c r="M34" s="6" t="str">
        <f>IF(ISBLANK(L34),"予約しない",IF(L34=0,"予約しない",IF(L34=1,"予約する","")))</f>
        <v>予約しない</v>
      </c>
      <c r="N34" s="94" t="s">
        <v>6</v>
      </c>
      <c r="O34" s="95"/>
      <c r="P34" s="95"/>
      <c r="Q34" s="95"/>
      <c r="R34" s="92"/>
    </row>
    <row r="35" spans="2:18" ht="18.75" customHeight="1">
      <c r="B35" s="10"/>
      <c r="C35" s="5"/>
      <c r="D35" s="5"/>
      <c r="F35" s="5"/>
      <c r="G35" s="3" t="str">
        <f>_xll.RssMarket($J$9,"最良買気配値5")</f>
        <v/>
      </c>
      <c r="H35" s="3" t="str">
        <f>_xll.RssMarket($J$9,"最良買気配数量5")</f>
        <v/>
      </c>
      <c r="J35" s="12" t="str">
        <f>IF(L19=0,"",IF(L19=1,"第19引数"))</f>
        <v/>
      </c>
      <c r="K35" s="9" t="str">
        <f>IF(L19=0,"",IF(L19=1,"セット注文価格区分"))</f>
        <v/>
      </c>
      <c r="L35" s="11"/>
      <c r="M35" s="6" t="str">
        <f>IF(OR(ISBLANK(L35),L34&lt;&gt;1),"",IF(L35=1,"指値",IF(L35=2,"値幅指定","")))</f>
        <v/>
      </c>
      <c r="N35" s="94" t="str">
        <f>IF(L19=0,"",IF(L19=1,"1：指値、 2：値幅指定　(セット注文区分が「1：セット注文(予約する)」の場合、必須。)"))</f>
        <v/>
      </c>
      <c r="O35" s="95"/>
      <c r="P35" s="95"/>
      <c r="Q35" s="95"/>
      <c r="R35" s="92"/>
    </row>
    <row r="36" spans="2:18" ht="18.75" customHeight="1">
      <c r="B36" s="10"/>
      <c r="C36" s="5"/>
      <c r="D36" s="5"/>
      <c r="F36" s="5"/>
      <c r="G36" s="3" t="str">
        <f>_xll.RssMarket($J$9,"最良買気配値6")</f>
        <v/>
      </c>
      <c r="H36" s="3" t="str">
        <f>_xll.RssMarket($J$9,"最良買気配数量6")</f>
        <v/>
      </c>
      <c r="J36" s="9" t="str">
        <f>IF(L19=0,"第18引数",IF(L19=1,"第20引数"))</f>
        <v>第18引数</v>
      </c>
      <c r="K36" s="8" t="s">
        <v>5</v>
      </c>
      <c r="L36" s="7"/>
      <c r="M36" s="6" t="str">
        <f>IF(L34&lt;&gt;1,"","ー")</f>
        <v/>
      </c>
      <c r="N36" s="92" t="s">
        <v>4</v>
      </c>
      <c r="O36" s="93"/>
      <c r="P36" s="93"/>
      <c r="Q36" s="93"/>
      <c r="R36" s="93"/>
    </row>
    <row r="37" spans="2:18">
      <c r="B37" s="10"/>
      <c r="C37" s="5"/>
      <c r="D37" s="5"/>
      <c r="F37" s="5"/>
      <c r="G37" s="3" t="str">
        <f>_xll.RssMarket($J$9,"最良買気配値7")</f>
        <v/>
      </c>
      <c r="H37" s="3" t="str">
        <f>_xll.RssMarket($J$9,"最良買気配数量7")</f>
        <v/>
      </c>
      <c r="J37" s="9" t="str">
        <f>IF(L19=0,"第19引数",IF(L19=1,"第21引数"))</f>
        <v>第19引数</v>
      </c>
      <c r="K37" s="8" t="s">
        <v>3</v>
      </c>
      <c r="L37" s="7"/>
      <c r="M37" s="79" t="str">
        <f>IF(ISBLANK(L37),"",IF(L37=1,"本日中",IF(L37=2,"今週中",IF(L37=3,"寄付",IF(L37=4,"引け",IF(L37=5,"期間指定",IF(L37=6,"大引け不成",IF(L37=7,"不成",""))))))))</f>
        <v/>
      </c>
      <c r="N37" s="97" t="s">
        <v>233</v>
      </c>
      <c r="O37" s="93"/>
      <c r="P37" s="93"/>
      <c r="Q37" s="93"/>
      <c r="R37" s="93"/>
    </row>
    <row r="38" spans="2:18">
      <c r="B38" s="10"/>
      <c r="C38" s="5"/>
      <c r="D38" s="5"/>
      <c r="F38" s="5"/>
      <c r="G38" s="3" t="str">
        <f>_xll.RssMarket($J$9,"最良買気配値8")</f>
        <v/>
      </c>
      <c r="H38" s="3" t="str">
        <f>_xll.RssMarket($J$9,"最良買気配数量8")</f>
        <v/>
      </c>
      <c r="J38" s="9" t="str">
        <f>IF(L19=0,"第20引数",IF(L19=1,"第22引数"))</f>
        <v>第20引数</v>
      </c>
      <c r="K38" s="8" t="s">
        <v>2</v>
      </c>
      <c r="L38" s="7"/>
      <c r="M38" s="6" t="str">
        <f>IF(OR(L34&lt;&gt;1,L37&lt;&gt;5),"","ー")</f>
        <v/>
      </c>
      <c r="N38" s="92" t="s">
        <v>1</v>
      </c>
      <c r="O38" s="93"/>
      <c r="P38" s="93"/>
      <c r="Q38" s="93"/>
      <c r="R38" s="93"/>
    </row>
    <row r="39" spans="2:18">
      <c r="B39" s="2"/>
      <c r="C39" s="2"/>
      <c r="D39" s="2"/>
      <c r="F39" s="5"/>
      <c r="G39" s="3" t="str">
        <f>_xll.RssMarket($J$9,"最良買気配値9")</f>
        <v/>
      </c>
      <c r="H39" s="3" t="str">
        <f>_xll.RssMarket($J$9,"最良買気配数量9")</f>
        <v/>
      </c>
    </row>
    <row r="40" spans="2:18">
      <c r="F40" s="5"/>
      <c r="G40" s="3" t="str">
        <f>_xll.RssMarket($J$9,"最良買気配値10")</f>
        <v/>
      </c>
      <c r="H40" s="3" t="str">
        <f>_xll.RssMarket($J$9,"最良買気配数量10")</f>
        <v/>
      </c>
    </row>
    <row r="41" spans="2:18">
      <c r="F41" s="5"/>
      <c r="G41" s="4" t="s">
        <v>0</v>
      </c>
      <c r="H41" s="3" t="str">
        <f>_xll.RssMarket($J$9,"UNDER気配数量")</f>
        <v/>
      </c>
    </row>
    <row r="45" spans="2:18">
      <c r="E45" s="2"/>
    </row>
  </sheetData>
  <mergeCells count="29">
    <mergeCell ref="N32:R32"/>
    <mergeCell ref="C7:D7"/>
    <mergeCell ref="C8:D8"/>
    <mergeCell ref="N28:R28"/>
    <mergeCell ref="N29:R29"/>
    <mergeCell ref="N30:R30"/>
    <mergeCell ref="N24:R24"/>
    <mergeCell ref="N25:R25"/>
    <mergeCell ref="N26:R26"/>
    <mergeCell ref="N12:R12"/>
    <mergeCell ref="N19:R19"/>
    <mergeCell ref="J8:K8"/>
    <mergeCell ref="J9:K9"/>
    <mergeCell ref="N36:R36"/>
    <mergeCell ref="N38:R38"/>
    <mergeCell ref="N27:R27"/>
    <mergeCell ref="N18:R18"/>
    <mergeCell ref="N13:R13"/>
    <mergeCell ref="N14:R14"/>
    <mergeCell ref="N15:R15"/>
    <mergeCell ref="N20:R20"/>
    <mergeCell ref="N21:R21"/>
    <mergeCell ref="N22:R22"/>
    <mergeCell ref="N23:R23"/>
    <mergeCell ref="N37:R37"/>
    <mergeCell ref="N35:R35"/>
    <mergeCell ref="N34:R34"/>
    <mergeCell ref="N33:R33"/>
    <mergeCell ref="N31:R31"/>
  </mergeCells>
  <phoneticPr fontId="4"/>
  <conditionalFormatting sqref="L38">
    <cfRule type="expression" dxfId="24" priority="7">
      <formula>OR(L34&lt;&gt;1,L37&lt;&gt;5)</formula>
    </cfRule>
  </conditionalFormatting>
  <conditionalFormatting sqref="L35:L37">
    <cfRule type="expression" dxfId="23" priority="6">
      <formula>$L$34&lt;&gt;1</formula>
    </cfRule>
  </conditionalFormatting>
  <conditionalFormatting sqref="L26">
    <cfRule type="expression" dxfId="22" priority="8">
      <formula>$L$25&lt;&gt;1</formula>
    </cfRule>
  </conditionalFormatting>
  <conditionalFormatting sqref="L28">
    <cfRule type="expression" dxfId="21" priority="9">
      <formula>L27&lt;&gt;5</formula>
    </cfRule>
  </conditionalFormatting>
  <conditionalFormatting sqref="J35:R35">
    <cfRule type="expression" dxfId="20" priority="5">
      <formula>$L$19&lt;&gt;1</formula>
    </cfRule>
  </conditionalFormatting>
  <conditionalFormatting sqref="J23:R23">
    <cfRule type="expression" dxfId="19" priority="4">
      <formula>$L$19&lt;&gt;1</formula>
    </cfRule>
  </conditionalFormatting>
  <conditionalFormatting sqref="L30:L32">
    <cfRule type="expression" dxfId="18" priority="3">
      <formula>AND($L$21&lt;&gt;1,$L$21&lt;&gt;2)</formula>
    </cfRule>
  </conditionalFormatting>
  <conditionalFormatting sqref="L25:L26">
    <cfRule type="expression" dxfId="17" priority="2">
      <formula>$L$21=2</formula>
    </cfRule>
  </conditionalFormatting>
  <conditionalFormatting sqref="L33">
    <cfRule type="expression" dxfId="16" priority="1">
      <formula>OR(AND($L$21&lt;&gt;1,$L$21&lt;&gt;2),$L$32&lt;&gt;1)</formula>
    </cfRule>
  </conditionalFormatting>
  <dataValidations count="13">
    <dataValidation type="list" allowBlank="1" showErrorMessage="1" errorTitle="売買区分　入力値エラー" error="1，3以外の数値は入力できません" promptTitle="売買区分" prompt="1:売（売建）_x000a_3:買（買建)" sqref="L20">
      <formula1>"1,3"</formula1>
    </dataValidation>
    <dataValidation type="list" allowBlank="1" showErrorMessage="1" errorTitle="入力値エラー" error="0，1以外の数値は入力できません" promptTitle="注文種類" prompt="0：現物_x000a_1：信用" sqref="L19">
      <formula1>"0,1"</formula1>
    </dataValidation>
    <dataValidation type="list" allowBlank="1" showErrorMessage="1" errorTitle="注文区分　入力値エラー" error="0,1,2以外の数値は入力できません" promptTitle="注文区分" prompt="0:通常注文_x000a_1:指値付通常注文_x000a_2:逆指値注文" sqref="L21">
      <formula1>"0,1,2"</formula1>
    </dataValidation>
    <dataValidation type="list" allowBlank="1" showErrorMessage="1" errorTitle="SOR区分" error="0，1以外の数値は入力できません" promptTitle="SOR区分" prompt="0:通常注文_x000a_1:SOR注文" sqref="L22">
      <formula1>"0,1"</formula1>
    </dataValidation>
    <dataValidation type="list" allowBlank="1" showErrorMessage="1" errorTitle="信用区分" error="1,2,3,4以外の数値は入力できません" promptTitle="信用区分" prompt="1:制度信用（６か月）_x000a_2:一般信用（無期限）_x000a_3:一般信用（14日）_x000a_4:一般信用（いちにち）" sqref="L23">
      <formula1>"1,2,3,4"</formula1>
    </dataValidation>
    <dataValidation type="list" allowBlank="1" showErrorMessage="1" errorTitle="口座区分　入力値エラー" error="0,1,2以外の数値は入力できません" promptTitle="口座区分" prompt="0:特定_x000a_1:一般_x000a_2:NISA" sqref="L29">
      <formula1>"0,1,2"</formula1>
    </dataValidation>
    <dataValidation type="list" allowBlank="1" showErrorMessage="1" errorTitle="執行条件　入力値エラー" error="1,2,3,4,5,6,7以外の数値は入力できません" promptTitle="執行条件" prompt="1:本日中_x000a_2:今週中_x000a_3:寄付_x000a_4:引け_x000a_5:期間指定_x000a_6:大引不成_x000a_7:不成" sqref="L27">
      <formula1>"1,2,3,4,5,6,7"</formula1>
    </dataValidation>
    <dataValidation type="list" allowBlank="1" showErrorMessage="1" errorTitle="価格区分　入力値エラー" error="0，1以外の数値は入力できません" promptTitle="価格区分" prompt="0：成行_x000a_1：指値" sqref="L25">
      <formula1>"0,1"</formula1>
    </dataValidation>
    <dataValidation type="list" allowBlank="1" showErrorMessage="1" errorTitle="逆指値条件区分　入力値エラー" error="1,2以外の数値は入力できません_x000a_" promptTitle="逆指値条件区分" prompt="1:以上_x000a_2:以下" sqref="L31">
      <formula1>"1,2"</formula1>
    </dataValidation>
    <dataValidation type="list" allowBlank="1" showErrorMessage="1" errorTitle="逆指値価格区分　入力値エラー" error="0,1以外の数値は入力できません" promptTitle="逆指値価格区分" prompt="0:成行_x000a_1:指値" sqref="L32">
      <formula1>"0,1"</formula1>
    </dataValidation>
    <dataValidation type="list" allowBlank="1" showErrorMessage="1" errorTitle="セット注文価格区分　入力値エラー" error="1,2以外の数値は入力できません" promptTitle="セット注文価格区分" prompt="1:指値_x000a_2:値幅指定" sqref="L35">
      <formula1>"1,2"</formula1>
    </dataValidation>
    <dataValidation type="list" allowBlank="1" showErrorMessage="1" errorTitle="セット注文区分　入力値エラー" error="0,1以外の数値は入力できません" promptTitle="セット注文区分" prompt="0:予約しない_x000a_1:予約する" sqref="L34">
      <formula1>"0,1"</formula1>
    </dataValidation>
    <dataValidation type="list" allowBlank="1" showErrorMessage="1" errorTitle="セット注文執行条件　入力値エラー" error="1,2,3,4,5,6,7以外の数値は入力できません" promptTitle="セット注文執行条件" prompt="1:本日中_x000a_2:今週中_x000a_3:寄付_x000a_4:引け_x000a_5:期間指定_x000a_6:大引不成_x000a_7:不成" sqref="L37">
      <formula1>"1,2,3,4,5,6,7"</formula1>
    </dataValidation>
  </dataValidations>
  <pageMargins left="0.7" right="0.7" top="0.75" bottom="0.75" header="0.3" footer="0.3"/>
  <pageSetup scale="3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T260"/>
  <sheetViews>
    <sheetView showGridLines="0" zoomScale="85" zoomScaleNormal="85" zoomScaleSheetLayoutView="85" workbookViewId="0"/>
  </sheetViews>
  <sheetFormatPr defaultColWidth="4" defaultRowHeight="15.75"/>
  <cols>
    <col min="1" max="1" width="4" style="1"/>
    <col min="2" max="2" width="16.25" style="1" customWidth="1"/>
    <col min="3" max="4" width="11.25" style="1" customWidth="1"/>
    <col min="5" max="5" width="10" style="1" customWidth="1"/>
    <col min="6" max="6" width="11.25" style="1" customWidth="1"/>
    <col min="7" max="7" width="9.75" style="1" bestFit="1" customWidth="1"/>
    <col min="8" max="10" width="11.25" style="1" customWidth="1"/>
    <col min="11" max="11" width="4" style="1" customWidth="1"/>
    <col min="12" max="12" width="8.5" style="1" customWidth="1"/>
    <col min="13" max="13" width="16.875" style="1" bestFit="1" customWidth="1"/>
    <col min="14" max="14" width="9.25" style="1" bestFit="1" customWidth="1"/>
    <col min="15" max="15" width="9.875" style="1" bestFit="1" customWidth="1"/>
    <col min="16" max="16" width="9" style="1" customWidth="1"/>
    <col min="17" max="17" width="14.75" style="1" customWidth="1"/>
    <col min="18" max="18" width="25.75" style="1" customWidth="1"/>
    <col min="19" max="19" width="32.625" style="1" customWidth="1"/>
    <col min="20" max="20" width="33.25" style="1" customWidth="1"/>
    <col min="21" max="16384" width="4" style="1"/>
  </cols>
  <sheetData>
    <row r="2" spans="2:20" ht="18">
      <c r="B2" s="30" t="s">
        <v>125</v>
      </c>
      <c r="C2" s="30"/>
    </row>
    <row r="3" spans="2:20" ht="18">
      <c r="B3" s="30" t="s">
        <v>99</v>
      </c>
    </row>
    <row r="4" spans="2:20" ht="18">
      <c r="B4" s="30" t="s">
        <v>98</v>
      </c>
      <c r="Q4" s="1" t="str">
        <f>_xll.RssCapacityList($Q$5:$T$5)</f>
        <v>=RssCapacityList($Q$5:$T$5) =&gt; 接続待ち</v>
      </c>
    </row>
    <row r="5" spans="2:20" ht="18">
      <c r="B5" s="30" t="s">
        <v>97</v>
      </c>
      <c r="Q5" s="5" t="s">
        <v>96</v>
      </c>
      <c r="R5" s="5" t="s">
        <v>95</v>
      </c>
      <c r="S5" s="5" t="s">
        <v>94</v>
      </c>
      <c r="T5" s="5" t="s">
        <v>93</v>
      </c>
    </row>
    <row r="6" spans="2:20">
      <c r="Q6" s="29"/>
      <c r="R6" s="29"/>
      <c r="S6" s="29"/>
      <c r="T6" s="88"/>
    </row>
    <row r="7" spans="2:20">
      <c r="C7" s="100" t="s">
        <v>92</v>
      </c>
      <c r="D7" s="100"/>
      <c r="E7" s="13" t="s">
        <v>91</v>
      </c>
      <c r="F7" s="13" t="s">
        <v>90</v>
      </c>
      <c r="Q7" s="2" t="s">
        <v>240</v>
      </c>
      <c r="R7" s="2" t="s">
        <v>240</v>
      </c>
      <c r="S7" s="2" t="s">
        <v>240</v>
      </c>
      <c r="T7" s="2" t="s">
        <v>240</v>
      </c>
    </row>
    <row r="8" spans="2:20">
      <c r="B8" s="5" t="s">
        <v>89</v>
      </c>
      <c r="C8" s="101" t="str">
        <f>_xll.RssMarket($L$9,"銘柄名称")</f>
        <v/>
      </c>
      <c r="D8" s="101"/>
      <c r="E8" s="13" t="str">
        <f>_xll.RssMarket($L$9,"市場名称")</f>
        <v/>
      </c>
      <c r="F8" s="13" t="str">
        <f>IF(_xll.RssMarket($L$9,"信用貸借区分")=1,"貸借",IF(_xll.RssMarket($L$9,"信用貸借区分")=2,"信用",""))</f>
        <v/>
      </c>
      <c r="J8" s="21"/>
      <c r="L8" s="100" t="s">
        <v>88</v>
      </c>
      <c r="M8" s="100"/>
    </row>
    <row r="9" spans="2:20">
      <c r="J9" s="21"/>
      <c r="L9" s="105"/>
      <c r="M9" s="105"/>
    </row>
    <row r="10" spans="2:20">
      <c r="B10" s="23" t="s">
        <v>87</v>
      </c>
      <c r="C10" s="22" t="str">
        <f>_xll.RssMarket($L$9,"現在値")</f>
        <v/>
      </c>
      <c r="D10" s="13" t="str">
        <f>_xll.RssMarket($L$9,"現在値時刻")</f>
        <v/>
      </c>
      <c r="E10" s="9" t="s">
        <v>86</v>
      </c>
      <c r="F10" s="10" t="str">
        <f>_xll.RssMarket($L$9,E10)</f>
        <v/>
      </c>
      <c r="G10" s="9" t="s">
        <v>124</v>
      </c>
      <c r="H10" s="10" t="str">
        <f>_xll.RssMarket($L$9,"出来高加重平均")</f>
        <v/>
      </c>
    </row>
    <row r="11" spans="2:20">
      <c r="B11" s="9" t="s">
        <v>123</v>
      </c>
      <c r="C11" s="22" t="str">
        <f>_xll.RssMarket($L$9,"最良売気配値")</f>
        <v/>
      </c>
      <c r="D11" s="13" t="str">
        <f>_xll.RssMarket($L$9,"最良売気配時刻")</f>
        <v/>
      </c>
      <c r="E11" s="9" t="s">
        <v>83</v>
      </c>
      <c r="F11" s="83" t="e">
        <f>_xll.RssMarket($L$9,E11)/100</f>
        <v>#VALUE!</v>
      </c>
      <c r="G11" s="5" t="s">
        <v>243</v>
      </c>
      <c r="H11" s="84" t="str">
        <f>_xll.RssMarket($L$9,"時価総額")</f>
        <v/>
      </c>
      <c r="L11" s="18" t="s">
        <v>82</v>
      </c>
      <c r="M11" s="26" t="str">
        <f>IF(N19=0,_xll.RssStockOrder(N13,N14,N15,N20,N21,N22,N24,N25,N26,N27,N28,N29,N30,N31,N32,N33,N34,N36,N37,N38),IF(N19=1,_xll.RssMarginOpenOrder(N13,N14,N15,N20,N21,N22,N23,N24,N25,N26,N27,N28,N29,N30,N31,N32,N33,N34,N35,N36,N37,N38),"注文種類を選んでください"))</f>
        <v>=IF(N19=0,RssStockOrder(N13,N14,N15,N20,N21,N22,N24,N25,N26,N27,N28,N29,N30,N31,N32,N33,N34,N36,N37,N38),IF(N19=1,RssMarginOpenOrder(N13,N14,N15,N20,N21,N22,N23,N24,N25,N26,N27,N28,N29,N30,N31,N32,N33,N34,N35,N36,N37,N38),"注文種類を選んでください")) =&gt; 入力エラー：発注IDは、1以上の数値で入力してください。</v>
      </c>
      <c r="N11" s="25" t="str">
        <f>RIGHT(M11,LEN(M11)-238)</f>
        <v xml:space="preserve"> =&gt; 入力エラー：発注IDは、1以上の数値で入力してください。</v>
      </c>
    </row>
    <row r="12" spans="2:20">
      <c r="B12" s="9" t="s">
        <v>122</v>
      </c>
      <c r="C12" s="22" t="str">
        <f>_xll.RssMarket($L$9,"最良買気配値")</f>
        <v/>
      </c>
      <c r="D12" s="13" t="str">
        <f>_xll.RssMarket($L$9,"最良買気配時刻")</f>
        <v/>
      </c>
      <c r="E12" s="23" t="s">
        <v>80</v>
      </c>
      <c r="F12" s="84" t="str">
        <f>_xll.RssMarket($L$9,E12)</f>
        <v/>
      </c>
      <c r="G12" s="5" t="s">
        <v>121</v>
      </c>
      <c r="H12" s="86" t="str">
        <f>_xll.RssMarket($L$9,G12)</f>
        <v/>
      </c>
      <c r="L12" s="14" t="s">
        <v>53</v>
      </c>
      <c r="M12" s="16" t="s">
        <v>52</v>
      </c>
      <c r="N12" s="24" t="s">
        <v>78</v>
      </c>
      <c r="O12" s="14" t="s">
        <v>50</v>
      </c>
      <c r="P12" s="96" t="s">
        <v>77</v>
      </c>
      <c r="Q12" s="89"/>
      <c r="R12" s="89"/>
      <c r="S12" s="89"/>
      <c r="T12" s="89"/>
    </row>
    <row r="13" spans="2:20">
      <c r="B13" s="9" t="s">
        <v>76</v>
      </c>
      <c r="C13" s="22" t="str">
        <f>_xll.RssMarket($L$9,"始値")</f>
        <v/>
      </c>
      <c r="D13" s="13" t="str">
        <f>_xll.RssMarket($L$9,"始値時刻")</f>
        <v/>
      </c>
      <c r="E13" s="23" t="s">
        <v>75</v>
      </c>
      <c r="F13" s="10" t="str">
        <f>_xll.RssMarket($L$9,E13)</f>
        <v/>
      </c>
      <c r="G13" s="5" t="s">
        <v>120</v>
      </c>
      <c r="H13" s="86" t="str">
        <f>_xll.RssMarket($L$9,G13)</f>
        <v/>
      </c>
      <c r="I13" s="20"/>
      <c r="L13" s="9" t="s">
        <v>119</v>
      </c>
      <c r="M13" s="8" t="s">
        <v>72</v>
      </c>
      <c r="N13" s="19"/>
      <c r="O13" s="6" t="s">
        <v>118</v>
      </c>
      <c r="P13" s="92" t="s">
        <v>117</v>
      </c>
      <c r="Q13" s="93"/>
      <c r="R13" s="93"/>
      <c r="S13" s="93"/>
      <c r="T13" s="93"/>
    </row>
    <row r="14" spans="2:20">
      <c r="B14" s="9" t="s">
        <v>68</v>
      </c>
      <c r="C14" s="22" t="str">
        <f>_xll.RssMarket($L$9,"高値")</f>
        <v/>
      </c>
      <c r="D14" s="13" t="str">
        <f>_xll.RssMarket($L$9,"高値時刻")</f>
        <v/>
      </c>
      <c r="E14" s="23" t="s">
        <v>58</v>
      </c>
      <c r="F14" s="84" t="str">
        <f>_xll.RssMarket($L$9,E14)</f>
        <v/>
      </c>
      <c r="I14" s="20"/>
      <c r="L14" s="9" t="s">
        <v>67</v>
      </c>
      <c r="M14" s="8" t="s">
        <v>66</v>
      </c>
      <c r="N14" s="19">
        <v>0</v>
      </c>
      <c r="O14" s="6" t="str">
        <f>IF(ISBLANK(N14),"待機中",IF(OR(N14=0,N14=FALSE),"待機中",IF(OR(N14=1,N14=TRUE),"発注","")))</f>
        <v>待機中</v>
      </c>
      <c r="P14" s="92" t="s">
        <v>116</v>
      </c>
      <c r="Q14" s="93"/>
      <c r="R14" s="93"/>
      <c r="S14" s="93"/>
      <c r="T14" s="93"/>
    </row>
    <row r="15" spans="2:20">
      <c r="B15" s="9" t="s">
        <v>63</v>
      </c>
      <c r="C15" s="22" t="str">
        <f>_xll.RssMarket($L$9,"安値")</f>
        <v/>
      </c>
      <c r="D15" s="13" t="str">
        <f>_xll.RssMarket($L$9,"安値時刻")</f>
        <v/>
      </c>
      <c r="E15" s="9" t="s">
        <v>241</v>
      </c>
      <c r="F15" s="84" t="str">
        <f>_xll.RssMarket($L$9,"売買代金")</f>
        <v/>
      </c>
      <c r="H15" s="21"/>
      <c r="I15" s="20"/>
      <c r="L15" s="9" t="s">
        <v>62</v>
      </c>
      <c r="M15" s="8" t="s">
        <v>61</v>
      </c>
      <c r="N15" s="19">
        <f>L9</f>
        <v>0</v>
      </c>
      <c r="O15" s="6" t="str">
        <f>_xll.RssMarket($L$9,"銘柄名称")</f>
        <v/>
      </c>
      <c r="P15" s="92" t="s">
        <v>60</v>
      </c>
      <c r="Q15" s="93"/>
      <c r="R15" s="93"/>
      <c r="S15" s="93"/>
      <c r="T15" s="93"/>
    </row>
    <row r="16" spans="2:20">
      <c r="B16" s="20"/>
      <c r="C16" s="41"/>
      <c r="D16" s="21"/>
      <c r="G16" s="41"/>
      <c r="H16" s="21"/>
      <c r="I16" s="20"/>
    </row>
    <row r="17" spans="2:20">
      <c r="B17" s="20"/>
      <c r="C17" s="41"/>
      <c r="D17" s="21"/>
      <c r="G17" s="41"/>
      <c r="H17" s="21"/>
      <c r="I17" s="20"/>
    </row>
    <row r="18" spans="2:20">
      <c r="B18" s="20"/>
      <c r="C18" s="41"/>
      <c r="D18" s="21"/>
      <c r="G18" s="41"/>
      <c r="H18" s="21"/>
      <c r="I18" s="20"/>
      <c r="L18" s="14" t="s">
        <v>53</v>
      </c>
      <c r="M18" s="16" t="s">
        <v>52</v>
      </c>
      <c r="N18" s="15" t="s">
        <v>51</v>
      </c>
      <c r="O18" s="14" t="s">
        <v>50</v>
      </c>
      <c r="P18" s="106" t="s">
        <v>49</v>
      </c>
      <c r="Q18" s="107"/>
      <c r="R18" s="107"/>
      <c r="S18" s="107"/>
      <c r="T18" s="96"/>
    </row>
    <row r="19" spans="2:20">
      <c r="B19" s="20"/>
      <c r="C19" s="41"/>
      <c r="D19" s="21"/>
      <c r="G19" s="41"/>
      <c r="H19" s="21"/>
      <c r="I19" s="20"/>
      <c r="L19" s="82" t="s">
        <v>47</v>
      </c>
      <c r="M19" s="5" t="s">
        <v>46</v>
      </c>
      <c r="N19" s="11"/>
      <c r="O19" s="6" t="str">
        <f>IF(ISBLANK(N19),"",IF(N19=0,"現物取引",IF(N19=1,"信用取引","")))</f>
        <v/>
      </c>
      <c r="P19" s="93" t="s">
        <v>45</v>
      </c>
      <c r="Q19" s="93"/>
      <c r="R19" s="93"/>
      <c r="S19" s="93"/>
      <c r="T19" s="93"/>
    </row>
    <row r="20" spans="2:20">
      <c r="B20" s="20"/>
      <c r="C20" s="41"/>
      <c r="D20" s="21"/>
      <c r="G20" s="41"/>
      <c r="H20" s="21"/>
      <c r="I20" s="20"/>
      <c r="L20" s="9" t="s">
        <v>43</v>
      </c>
      <c r="M20" s="8" t="s">
        <v>42</v>
      </c>
      <c r="N20" s="11"/>
      <c r="O20" s="6" t="str">
        <f>IF(ISBLANK(N20),"",IF(N20=1,"売り注文",IF(N20=3,"買い注文","")))</f>
        <v/>
      </c>
      <c r="P20" s="94" t="s">
        <v>41</v>
      </c>
      <c r="Q20" s="95"/>
      <c r="R20" s="95"/>
      <c r="S20" s="95"/>
      <c r="T20" s="92"/>
    </row>
    <row r="21" spans="2:20">
      <c r="B21" s="20"/>
      <c r="C21" s="41"/>
      <c r="D21" s="21"/>
      <c r="G21" s="41"/>
      <c r="H21" s="21"/>
      <c r="I21" s="20"/>
      <c r="L21" s="9" t="s">
        <v>40</v>
      </c>
      <c r="M21" s="8" t="s">
        <v>39</v>
      </c>
      <c r="N21" s="11"/>
      <c r="O21" s="6" t="str">
        <f>IF(ISBLANK(N21),"",IF(N21=0,"通常注文",IF(N21=1,"逆指付通常",IF(N21=2,"逆指値注文",""))))</f>
        <v/>
      </c>
      <c r="P21" s="94" t="s">
        <v>115</v>
      </c>
      <c r="Q21" s="95"/>
      <c r="R21" s="95"/>
      <c r="S21" s="95"/>
      <c r="T21" s="92"/>
    </row>
    <row r="22" spans="2:20">
      <c r="B22" s="20"/>
      <c r="C22" s="41"/>
      <c r="D22" s="21"/>
      <c r="G22" s="41"/>
      <c r="H22" s="21"/>
      <c r="I22" s="20"/>
      <c r="L22" s="9" t="s">
        <v>36</v>
      </c>
      <c r="M22" s="8" t="s">
        <v>35</v>
      </c>
      <c r="N22" s="11"/>
      <c r="O22" s="6" t="str">
        <f>IF(ISBLANK(N22),"",IF(N22=0,"通常注文",IF(N22=1,"SOR注文","")))</f>
        <v/>
      </c>
      <c r="P22" s="94" t="s">
        <v>114</v>
      </c>
      <c r="Q22" s="95"/>
      <c r="R22" s="95"/>
      <c r="S22" s="95"/>
      <c r="T22" s="92"/>
    </row>
    <row r="23" spans="2:20">
      <c r="B23" s="20"/>
      <c r="C23" s="41"/>
      <c r="D23" s="21"/>
      <c r="G23" s="41"/>
      <c r="H23" s="21"/>
      <c r="I23" s="20"/>
      <c r="L23" s="43" t="str">
        <f>IF(N19=0,"",IF(N19=1,"第7引数"))</f>
        <v/>
      </c>
      <c r="M23" s="43" t="str">
        <f>IF(N19=0,"",IF(N19=1,"信用区分"))</f>
        <v/>
      </c>
      <c r="N23" s="11"/>
      <c r="O23" s="5" t="str">
        <f>IF(ISBLANK(N23),"",IF(N23=1,"制度（6ヶ月）",IF(N23=2,"一般（無制限）",IF(N23=3,"一般（14日）",IF(N23=4,"一般（いちにち）","")))))</f>
        <v/>
      </c>
      <c r="P23" s="102" t="str">
        <f>IF(N19=0,"",IF(N19=1,"1：制度信用（6ヶ月）、 2：一般信用（無制限）、 3：一般信用（14日）、 4：一般信用（いちにち）"))</f>
        <v/>
      </c>
      <c r="Q23" s="103"/>
      <c r="R23" s="103"/>
      <c r="S23" s="103"/>
      <c r="T23" s="104"/>
    </row>
    <row r="24" spans="2:20">
      <c r="B24" s="20"/>
      <c r="C24" s="41"/>
      <c r="D24" s="21"/>
      <c r="G24" s="41"/>
      <c r="H24" s="21"/>
      <c r="I24" s="20"/>
      <c r="L24" s="9" t="str">
        <f>IF(N19=0,"第7引数",IF(N19=1,"第8引数"))</f>
        <v>第7引数</v>
      </c>
      <c r="M24" s="8" t="s">
        <v>33</v>
      </c>
      <c r="N24" s="7"/>
      <c r="O24" s="6" t="s">
        <v>113</v>
      </c>
      <c r="P24" s="94" t="s">
        <v>31</v>
      </c>
      <c r="Q24" s="95"/>
      <c r="R24" s="95"/>
      <c r="S24" s="95"/>
      <c r="T24" s="92"/>
    </row>
    <row r="25" spans="2:20" ht="15.75" customHeight="1">
      <c r="B25" s="20"/>
      <c r="C25" s="41"/>
      <c r="D25" s="21"/>
      <c r="G25" s="41"/>
      <c r="H25" s="21"/>
      <c r="I25" s="20"/>
      <c r="L25" s="9" t="str">
        <f>IF(N19=0,"第8引数",IF(N19=1,"第9引数"))</f>
        <v>第8引数</v>
      </c>
      <c r="M25" s="8" t="s">
        <v>30</v>
      </c>
      <c r="N25" s="11"/>
      <c r="O25" s="6" t="str">
        <f>IF(OR(ISBLANK(N25),N21=2),"",IF(N25=0,"成行",IF(N25=1,"指値","")))</f>
        <v/>
      </c>
      <c r="P25" s="98" t="s">
        <v>112</v>
      </c>
      <c r="Q25" s="99"/>
      <c r="R25" s="99"/>
      <c r="S25" s="99"/>
      <c r="T25" s="97"/>
    </row>
    <row r="26" spans="2:20">
      <c r="B26" s="20"/>
      <c r="C26" s="41"/>
      <c r="D26" s="21"/>
      <c r="G26" s="41"/>
      <c r="H26" s="21"/>
      <c r="I26" s="20"/>
      <c r="L26" s="9" t="str">
        <f>IF(N19=0,"第9引数",IF(N19=1,"第10引数"))</f>
        <v>第9引数</v>
      </c>
      <c r="M26" s="8" t="s">
        <v>27</v>
      </c>
      <c r="N26" s="7"/>
      <c r="O26" s="6" t="str">
        <f>IF(OR(N25&lt;&gt;1,N21=2),"","-")</f>
        <v/>
      </c>
      <c r="P26" s="94" t="s">
        <v>26</v>
      </c>
      <c r="Q26" s="95"/>
      <c r="R26" s="95"/>
      <c r="S26" s="95"/>
      <c r="T26" s="92"/>
    </row>
    <row r="27" spans="2:20" ht="18.75" customHeight="1">
      <c r="B27" s="20"/>
      <c r="C27" s="41"/>
      <c r="D27" s="21"/>
      <c r="G27" s="41"/>
      <c r="H27" s="21"/>
      <c r="I27" s="20"/>
      <c r="L27" s="9" t="str">
        <f>IF(N19=0,"第10引数",IF(N19=1,"第11引数"))</f>
        <v>第10引数</v>
      </c>
      <c r="M27" s="8" t="s">
        <v>25</v>
      </c>
      <c r="N27" s="11"/>
      <c r="O27" s="6" t="str">
        <f>IF(ISBLANK(N27),"",IF(N27=1,"本日中",IF(N27=2,"今週中",IF(N27=3,"寄付",IF(N27=4,"引け",IF(N27=5,"期間指定",IF(N27=6,"大引け不成",IF(N27=7,"不成",""))))))))</f>
        <v/>
      </c>
      <c r="P27" s="94" t="s">
        <v>232</v>
      </c>
      <c r="Q27" s="95"/>
      <c r="R27" s="95"/>
      <c r="S27" s="95"/>
      <c r="T27" s="92"/>
    </row>
    <row r="28" spans="2:20">
      <c r="B28" s="20"/>
      <c r="C28" s="41"/>
      <c r="D28" s="21"/>
      <c r="G28" s="41"/>
      <c r="H28" s="21"/>
      <c r="I28" s="20"/>
      <c r="L28" s="9" t="str">
        <f>IF(N19=0,"第11引数",IF(N19=1,"第12引数"))</f>
        <v>第11引数</v>
      </c>
      <c r="M28" s="8" t="s">
        <v>24</v>
      </c>
      <c r="N28" s="7"/>
      <c r="O28" s="6" t="str">
        <f>IF(N27&lt;&gt;5,"","ー")</f>
        <v/>
      </c>
      <c r="P28" s="94" t="s">
        <v>22</v>
      </c>
      <c r="Q28" s="95"/>
      <c r="R28" s="95"/>
      <c r="S28" s="95"/>
      <c r="T28" s="92"/>
    </row>
    <row r="29" spans="2:20" ht="18.75" customHeight="1">
      <c r="B29" s="20"/>
      <c r="C29" s="41"/>
      <c r="D29" s="21"/>
      <c r="G29" s="41"/>
      <c r="H29" s="21"/>
      <c r="I29" s="20"/>
      <c r="L29" s="9" t="str">
        <f>IF(N19=0,"第12引数",IF(N19=1,"第13引数"))</f>
        <v>第12引数</v>
      </c>
      <c r="M29" s="8" t="s">
        <v>21</v>
      </c>
      <c r="N29" s="11"/>
      <c r="O29" s="6" t="str">
        <f>IF(ISBLANK(N29),"",IF(N29=0,"特定",IF(N29=1,"一般",IF(N29=2,"NISA",""))))</f>
        <v/>
      </c>
      <c r="P29" s="102" t="s">
        <v>20</v>
      </c>
      <c r="Q29" s="103"/>
      <c r="R29" s="103"/>
      <c r="S29" s="103"/>
      <c r="T29" s="104"/>
    </row>
    <row r="30" spans="2:20" ht="18.75" customHeight="1">
      <c r="B30" s="20"/>
      <c r="C30" s="41"/>
      <c r="D30" s="21"/>
      <c r="G30" s="41"/>
      <c r="H30" s="21"/>
      <c r="I30" s="20"/>
      <c r="L30" s="9" t="str">
        <f>IF(N19=0,"第13引数",IF(N19=1,"第14引数"))</f>
        <v>第13引数</v>
      </c>
      <c r="M30" s="8" t="s">
        <v>19</v>
      </c>
      <c r="N30" s="7"/>
      <c r="O30" s="6" t="str">
        <f>IF(AND(N21&lt;&gt;1,N21&lt;&gt;2),"","ー")</f>
        <v/>
      </c>
      <c r="P30" s="94" t="s">
        <v>17</v>
      </c>
      <c r="Q30" s="95"/>
      <c r="R30" s="95"/>
      <c r="S30" s="95"/>
      <c r="T30" s="92"/>
    </row>
    <row r="31" spans="2:20" ht="18.75" customHeight="1">
      <c r="B31" s="20"/>
      <c r="C31" s="41"/>
      <c r="D31" s="21"/>
      <c r="G31" s="41"/>
      <c r="H31" s="21"/>
      <c r="I31" s="20"/>
      <c r="L31" s="9" t="str">
        <f>IF(N19=0,"第14引数",IF(N19=1,"第15引数"))</f>
        <v>第14引数</v>
      </c>
      <c r="M31" s="8" t="s">
        <v>16</v>
      </c>
      <c r="N31" s="7"/>
      <c r="O31" s="6" t="str">
        <f>IF(AND(N21&lt;&gt;1,N21&lt;&gt;2),"",IF(ISBLANK(N31),"",IF(N31=1,"以上",IF(N31=2,"以下",""))))</f>
        <v/>
      </c>
      <c r="P31" s="94" t="s">
        <v>14</v>
      </c>
      <c r="Q31" s="95"/>
      <c r="R31" s="95"/>
      <c r="S31" s="95"/>
      <c r="T31" s="92"/>
    </row>
    <row r="32" spans="2:20" ht="15.75" customHeight="1">
      <c r="B32" s="20"/>
      <c r="C32" s="41"/>
      <c r="D32" s="21"/>
      <c r="G32" s="41"/>
      <c r="H32" s="21"/>
      <c r="I32" s="20"/>
      <c r="L32" s="9" t="str">
        <f>IF(N19=0,"第15引数",IF(N19=1,"第16引数"))</f>
        <v>第15引数</v>
      </c>
      <c r="M32" s="8" t="s">
        <v>13</v>
      </c>
      <c r="N32" s="7"/>
      <c r="O32" s="6" t="str">
        <f>IF(AND(N21&lt;&gt;1,N21&lt;&gt;2),"",IF(ISBLANK(N32),"",IF(N32=0,"成行",IF(N32=1,"指値",""))))</f>
        <v/>
      </c>
      <c r="P32" s="98" t="s">
        <v>111</v>
      </c>
      <c r="Q32" s="99"/>
      <c r="R32" s="99"/>
      <c r="S32" s="99"/>
      <c r="T32" s="97"/>
    </row>
    <row r="33" spans="2:20">
      <c r="B33" s="20"/>
      <c r="C33" s="41"/>
      <c r="D33" s="21"/>
      <c r="G33" s="41"/>
      <c r="H33" s="21"/>
      <c r="I33" s="20"/>
      <c r="L33" s="9" t="str">
        <f>IF(N19=0,"第16引数",IF(N19=1,"第17引数"))</f>
        <v>第16引数</v>
      </c>
      <c r="M33" s="8" t="s">
        <v>10</v>
      </c>
      <c r="N33" s="7"/>
      <c r="O33" s="6" t="str">
        <f>IF(OR(AND(N21&lt;&gt;1,N21&lt;&gt;2),N32&lt;&gt;1),"","ー")</f>
        <v/>
      </c>
      <c r="P33" s="94" t="s">
        <v>8</v>
      </c>
      <c r="Q33" s="95"/>
      <c r="R33" s="95"/>
      <c r="S33" s="95"/>
      <c r="T33" s="92"/>
    </row>
    <row r="34" spans="2:20" ht="18.75" customHeight="1">
      <c r="B34" s="20"/>
      <c r="C34" s="41"/>
      <c r="D34" s="21"/>
      <c r="G34" s="41"/>
      <c r="H34" s="21"/>
      <c r="I34" s="20"/>
      <c r="L34" s="9" t="str">
        <f>IF(N19=0,"第17引数",IF(N19=1,"第18引数"))</f>
        <v>第17引数</v>
      </c>
      <c r="M34" s="8" t="s">
        <v>7</v>
      </c>
      <c r="N34" s="7"/>
      <c r="O34" s="6" t="str">
        <f>IF(ISBLANK(N34),"予約しない",IF(N34=0,"予約しない",IF(N34=1,"予約する","")))</f>
        <v>予約しない</v>
      </c>
      <c r="P34" s="94" t="s">
        <v>6</v>
      </c>
      <c r="Q34" s="95"/>
      <c r="R34" s="95"/>
      <c r="S34" s="95"/>
      <c r="T34" s="92"/>
    </row>
    <row r="35" spans="2:20">
      <c r="B35" s="20"/>
      <c r="C35" s="41"/>
      <c r="D35" s="21"/>
      <c r="G35" s="41"/>
      <c r="H35" s="21"/>
      <c r="I35" s="20"/>
      <c r="L35" s="43" t="str">
        <f>IF(N19=0,"",IF(N19=1,"第19引数"))</f>
        <v/>
      </c>
      <c r="M35" s="43" t="str">
        <f>IF(N19=0,"",IF(N19=1,"セット注文価格区分"))</f>
        <v/>
      </c>
      <c r="N35" s="11"/>
      <c r="O35" s="6" t="str">
        <f>IF(OR(ISBLANK(N35),N34&lt;&gt;1),"",IF(N35=1,"指値",IF(N35=2,"値幅指定","")))</f>
        <v/>
      </c>
      <c r="P35" s="102" t="str">
        <f>IF(N19=0,"",IF(N19=1,"1：指値、 2：値幅指定　(セット注文区分が「1：セット注文(予約する)」の場合、必須。)"))</f>
        <v/>
      </c>
      <c r="Q35" s="103"/>
      <c r="R35" s="103"/>
      <c r="S35" s="103"/>
      <c r="T35" s="104"/>
    </row>
    <row r="36" spans="2:20" ht="18.75" customHeight="1">
      <c r="B36" s="20"/>
      <c r="C36" s="41"/>
      <c r="D36" s="21"/>
      <c r="G36" s="41"/>
      <c r="H36" s="21"/>
      <c r="I36" s="20"/>
      <c r="L36" s="9" t="str">
        <f>IF(N19=0,"第18引数",IF(N19=1,"第20引数"))</f>
        <v>第18引数</v>
      </c>
      <c r="M36" s="8" t="s">
        <v>5</v>
      </c>
      <c r="N36" s="7"/>
      <c r="O36" s="6" t="str">
        <f>IF(N34&lt;&gt;1,"","ー")</f>
        <v/>
      </c>
      <c r="P36" s="92" t="s">
        <v>4</v>
      </c>
      <c r="Q36" s="93"/>
      <c r="R36" s="93"/>
      <c r="S36" s="93"/>
      <c r="T36" s="93"/>
    </row>
    <row r="37" spans="2:20" ht="18.75" customHeight="1">
      <c r="B37" s="20"/>
      <c r="C37" s="41"/>
      <c r="D37" s="21"/>
      <c r="G37" s="20" t="s">
        <v>208</v>
      </c>
      <c r="I37" s="20"/>
      <c r="L37" s="9" t="str">
        <f>IF(N19=0,"第19引数",IF(N19=1,"第21引数"))</f>
        <v>第19引数</v>
      </c>
      <c r="M37" s="8" t="s">
        <v>3</v>
      </c>
      <c r="N37" s="42"/>
      <c r="O37" s="79" t="str">
        <f>IF(ISBLANK(N37),"",IF(N37=1,"本日中",IF(N37=2,"今週中",IF(N37=3,"寄付",IF(N37=4,"引け",IF(N37=5,"期間指定",IF(N37=6,"大引け不成",IF(N37=7,"不成",""))))))))</f>
        <v/>
      </c>
      <c r="P37" s="98" t="s">
        <v>235</v>
      </c>
      <c r="Q37" s="99"/>
      <c r="R37" s="99"/>
      <c r="S37" s="99"/>
      <c r="T37" s="97"/>
    </row>
    <row r="38" spans="2:20">
      <c r="C38" s="41"/>
      <c r="D38" s="21"/>
      <c r="H38" s="21"/>
      <c r="I38" s="40" t="s">
        <v>106</v>
      </c>
      <c r="J38" s="39" t="s">
        <v>110</v>
      </c>
      <c r="L38" s="9" t="str">
        <f>IF(N19=0,"第20引数",IF(N19=1,"第22引数"))</f>
        <v>第20引数</v>
      </c>
      <c r="M38" s="8" t="s">
        <v>2</v>
      </c>
      <c r="N38" s="7"/>
      <c r="O38" s="6" t="str">
        <f>IF(OR(N34&lt;&gt;1,N37&lt;&gt;5),"","ー")</f>
        <v/>
      </c>
      <c r="P38" s="92" t="s">
        <v>1</v>
      </c>
      <c r="Q38" s="93"/>
      <c r="R38" s="93"/>
      <c r="S38" s="93"/>
      <c r="T38" s="93"/>
    </row>
    <row r="39" spans="2:20">
      <c r="I39" s="73" t="s">
        <v>109</v>
      </c>
      <c r="J39" s="73">
        <v>32</v>
      </c>
    </row>
    <row r="40" spans="2:20">
      <c r="B40" s="1" t="str">
        <f>_xll.RssChart(B41:J41,$L$9,$I$39,$J$39)</f>
        <v>=RssChart(B41:J41,$L$9,$I$39,$J$39) =&gt; マーケットスピード II にログインして「接続中」の状態に変更してから利用してください。</v>
      </c>
    </row>
    <row r="41" spans="2:20">
      <c r="B41" s="5" t="s">
        <v>108</v>
      </c>
      <c r="C41" s="5" t="s">
        <v>107</v>
      </c>
      <c r="D41" s="5" t="s">
        <v>106</v>
      </c>
      <c r="E41" s="5" t="s">
        <v>203</v>
      </c>
      <c r="F41" s="5" t="s">
        <v>105</v>
      </c>
      <c r="G41" s="5" t="s">
        <v>104</v>
      </c>
      <c r="H41" s="5" t="s">
        <v>103</v>
      </c>
      <c r="I41" s="5" t="s">
        <v>102</v>
      </c>
      <c r="J41" s="5" t="s">
        <v>101</v>
      </c>
    </row>
    <row r="42" spans="2:20">
      <c r="B42" s="5"/>
      <c r="C42" s="5"/>
      <c r="D42" s="5"/>
      <c r="E42" s="38"/>
      <c r="F42" s="29"/>
      <c r="G42" s="29"/>
      <c r="H42" s="29"/>
      <c r="I42" s="29"/>
      <c r="J42" s="29"/>
    </row>
    <row r="43" spans="2:20">
      <c r="B43" s="5"/>
      <c r="C43" s="5"/>
      <c r="D43" s="5"/>
      <c r="E43" s="38"/>
      <c r="F43" s="29"/>
      <c r="G43" s="29"/>
      <c r="H43" s="29"/>
      <c r="I43" s="29"/>
      <c r="J43" s="29"/>
    </row>
    <row r="44" spans="2:20">
      <c r="B44" s="5"/>
      <c r="C44" s="5"/>
      <c r="D44" s="5"/>
      <c r="E44" s="38"/>
      <c r="F44" s="29"/>
      <c r="G44" s="29"/>
      <c r="H44" s="29"/>
      <c r="I44" s="29"/>
      <c r="J44" s="29"/>
    </row>
    <row r="45" spans="2:20">
      <c r="B45" s="5"/>
      <c r="C45" s="5"/>
      <c r="D45" s="5"/>
      <c r="E45" s="38"/>
      <c r="F45" s="29"/>
      <c r="G45" s="29"/>
      <c r="H45" s="29"/>
      <c r="I45" s="29"/>
      <c r="J45" s="29"/>
    </row>
    <row r="46" spans="2:20">
      <c r="B46" s="5"/>
      <c r="C46" s="5"/>
      <c r="D46" s="5"/>
      <c r="E46" s="38"/>
      <c r="F46" s="29"/>
      <c r="G46" s="29"/>
      <c r="H46" s="29"/>
      <c r="I46" s="29"/>
      <c r="J46" s="29"/>
    </row>
    <row r="47" spans="2:20">
      <c r="B47" s="5"/>
      <c r="C47" s="5"/>
      <c r="D47" s="5"/>
      <c r="E47" s="38"/>
      <c r="F47" s="29"/>
      <c r="G47" s="29"/>
      <c r="H47" s="29"/>
      <c r="I47" s="29"/>
      <c r="J47" s="29"/>
    </row>
    <row r="48" spans="2:20">
      <c r="B48" s="5"/>
      <c r="C48" s="5"/>
      <c r="D48" s="5"/>
      <c r="E48" s="38"/>
      <c r="F48" s="29"/>
      <c r="G48" s="29"/>
      <c r="H48" s="29"/>
      <c r="I48" s="29"/>
      <c r="J48" s="29"/>
    </row>
    <row r="49" spans="2:20">
      <c r="B49" s="5"/>
      <c r="C49" s="5"/>
      <c r="D49" s="5"/>
      <c r="E49" s="38"/>
      <c r="F49" s="29"/>
      <c r="G49" s="29"/>
      <c r="H49" s="29"/>
      <c r="I49" s="29"/>
      <c r="J49" s="29"/>
    </row>
    <row r="50" spans="2:20">
      <c r="B50" s="5"/>
      <c r="C50" s="5"/>
      <c r="D50" s="5"/>
      <c r="E50" s="38"/>
      <c r="F50" s="29"/>
      <c r="G50" s="29"/>
      <c r="H50" s="29"/>
      <c r="I50" s="29"/>
      <c r="J50" s="29"/>
    </row>
    <row r="51" spans="2:20">
      <c r="B51" s="5"/>
      <c r="C51" s="5"/>
      <c r="D51" s="5"/>
      <c r="E51" s="38"/>
      <c r="F51" s="29"/>
      <c r="G51" s="29"/>
      <c r="H51" s="29"/>
      <c r="I51" s="29"/>
      <c r="J51" s="29"/>
    </row>
    <row r="52" spans="2:20">
      <c r="B52" s="37"/>
      <c r="C52" s="37"/>
      <c r="D52" s="37"/>
      <c r="E52" s="36"/>
      <c r="F52" s="80"/>
      <c r="G52" s="80"/>
      <c r="H52" s="80"/>
      <c r="I52" s="80"/>
      <c r="J52" s="80"/>
    </row>
    <row r="53" spans="2:20">
      <c r="B53" s="5"/>
      <c r="C53" s="5"/>
      <c r="D53" s="5"/>
      <c r="E53" s="38"/>
      <c r="F53" s="29"/>
      <c r="G53" s="29"/>
      <c r="H53" s="29"/>
      <c r="I53" s="29"/>
      <c r="J53" s="29"/>
    </row>
    <row r="54" spans="2:20">
      <c r="B54" s="5"/>
      <c r="C54" s="5"/>
      <c r="D54" s="5"/>
      <c r="E54" s="38"/>
      <c r="F54" s="29"/>
      <c r="G54" s="29"/>
      <c r="H54" s="29"/>
      <c r="I54" s="29"/>
      <c r="J54" s="29"/>
    </row>
    <row r="55" spans="2:20">
      <c r="B55" s="5"/>
      <c r="C55" s="5"/>
      <c r="D55" s="5"/>
      <c r="E55" s="38"/>
      <c r="F55" s="29"/>
      <c r="G55" s="29"/>
      <c r="H55" s="29"/>
      <c r="I55" s="29"/>
      <c r="J55" s="29"/>
    </row>
    <row r="56" spans="2:20">
      <c r="B56" s="5"/>
      <c r="C56" s="5"/>
      <c r="D56" s="5"/>
      <c r="E56" s="38"/>
      <c r="F56" s="29"/>
      <c r="G56" s="29"/>
      <c r="H56" s="29"/>
      <c r="I56" s="29"/>
      <c r="J56" s="29"/>
    </row>
    <row r="57" spans="2:20">
      <c r="B57" s="5"/>
      <c r="C57" s="5"/>
      <c r="D57" s="5"/>
      <c r="E57" s="38"/>
      <c r="F57" s="29"/>
      <c r="G57" s="29"/>
      <c r="H57" s="29"/>
      <c r="I57" s="29"/>
      <c r="J57" s="29"/>
    </row>
    <row r="58" spans="2:20">
      <c r="B58" s="5"/>
      <c r="C58" s="5"/>
      <c r="D58" s="5"/>
      <c r="E58" s="38"/>
      <c r="F58" s="29"/>
      <c r="G58" s="29"/>
      <c r="H58" s="29"/>
      <c r="I58" s="29"/>
      <c r="J58" s="29"/>
    </row>
    <row r="59" spans="2:20">
      <c r="B59" s="5"/>
      <c r="C59" s="5"/>
      <c r="D59" s="5"/>
      <c r="E59" s="38"/>
      <c r="F59" s="29"/>
      <c r="G59" s="29"/>
      <c r="H59" s="29"/>
      <c r="I59" s="29"/>
      <c r="J59" s="29"/>
    </row>
    <row r="60" spans="2:20">
      <c r="B60" s="5"/>
      <c r="C60" s="5"/>
      <c r="D60" s="5"/>
      <c r="E60" s="38"/>
      <c r="F60" s="29"/>
      <c r="G60" s="29"/>
      <c r="H60" s="29"/>
      <c r="I60" s="29"/>
      <c r="J60" s="29"/>
    </row>
    <row r="61" spans="2:20">
      <c r="B61" s="5"/>
      <c r="C61" s="5"/>
      <c r="D61" s="5"/>
      <c r="E61" s="38"/>
      <c r="F61" s="29"/>
      <c r="G61" s="29"/>
      <c r="H61" s="29"/>
      <c r="I61" s="29"/>
      <c r="J61" s="29"/>
      <c r="L61" s="31"/>
      <c r="M61" s="31"/>
      <c r="Q61" s="33"/>
      <c r="R61" s="31"/>
      <c r="S61" s="31"/>
      <c r="T61" s="31"/>
    </row>
    <row r="62" spans="2:20">
      <c r="B62" s="5"/>
      <c r="C62" s="5"/>
      <c r="D62" s="5"/>
      <c r="E62" s="38"/>
      <c r="F62" s="29"/>
      <c r="G62" s="29"/>
      <c r="H62" s="29"/>
      <c r="I62" s="29"/>
      <c r="J62" s="29"/>
      <c r="L62" s="31"/>
      <c r="M62" s="31"/>
      <c r="Q62" s="33"/>
      <c r="R62" s="31"/>
      <c r="S62" s="31"/>
      <c r="T62" s="31"/>
    </row>
    <row r="63" spans="2:20">
      <c r="B63" s="5"/>
      <c r="C63" s="5"/>
      <c r="D63" s="5"/>
      <c r="E63" s="38"/>
      <c r="F63" s="29"/>
      <c r="G63" s="29"/>
      <c r="H63" s="29"/>
      <c r="I63" s="29"/>
      <c r="J63" s="29"/>
      <c r="L63" s="31"/>
      <c r="M63" s="31"/>
      <c r="Q63" s="33"/>
      <c r="R63" s="31"/>
      <c r="S63" s="31"/>
      <c r="T63" s="31"/>
    </row>
    <row r="64" spans="2:20">
      <c r="B64" s="5"/>
      <c r="C64" s="5"/>
      <c r="D64" s="5"/>
      <c r="E64" s="38"/>
      <c r="F64" s="29"/>
      <c r="G64" s="29"/>
      <c r="H64" s="29"/>
      <c r="I64" s="29"/>
      <c r="J64" s="29"/>
      <c r="L64" s="31"/>
      <c r="M64" s="31"/>
      <c r="Q64" s="33"/>
      <c r="R64" s="31"/>
      <c r="S64" s="31"/>
      <c r="T64" s="31"/>
    </row>
    <row r="65" spans="2:20">
      <c r="B65" s="5"/>
      <c r="C65" s="5"/>
      <c r="D65" s="5"/>
      <c r="E65" s="38"/>
      <c r="F65" s="29"/>
      <c r="G65" s="29"/>
      <c r="H65" s="29"/>
      <c r="I65" s="29"/>
      <c r="J65" s="29"/>
      <c r="L65" s="31"/>
      <c r="M65" s="31"/>
      <c r="Q65" s="33"/>
      <c r="R65" s="31"/>
      <c r="S65" s="31"/>
      <c r="T65" s="31"/>
    </row>
    <row r="66" spans="2:20">
      <c r="B66" s="5"/>
      <c r="C66" s="5"/>
      <c r="D66" s="5"/>
      <c r="E66" s="38"/>
      <c r="F66" s="29"/>
      <c r="G66" s="29"/>
      <c r="H66" s="29"/>
      <c r="I66" s="29"/>
      <c r="J66" s="29"/>
      <c r="L66" s="31"/>
      <c r="M66" s="31"/>
      <c r="Q66" s="33"/>
      <c r="R66" s="31"/>
      <c r="S66" s="31"/>
      <c r="T66" s="31"/>
    </row>
    <row r="67" spans="2:20">
      <c r="B67" s="5"/>
      <c r="C67" s="5"/>
      <c r="D67" s="5"/>
      <c r="E67" s="38"/>
      <c r="F67" s="29"/>
      <c r="G67" s="29"/>
      <c r="H67" s="29"/>
      <c r="I67" s="29"/>
      <c r="J67" s="29"/>
      <c r="L67" s="31"/>
      <c r="M67" s="31"/>
      <c r="Q67" s="33"/>
      <c r="R67" s="31"/>
      <c r="S67" s="31"/>
      <c r="T67" s="31"/>
    </row>
    <row r="68" spans="2:20">
      <c r="B68" s="5"/>
      <c r="C68" s="5"/>
      <c r="D68" s="5"/>
      <c r="E68" s="38"/>
      <c r="F68" s="29"/>
      <c r="G68" s="29"/>
      <c r="H68" s="29"/>
      <c r="I68" s="29"/>
      <c r="J68" s="29"/>
      <c r="L68" s="31"/>
      <c r="M68" s="31"/>
      <c r="Q68" s="33"/>
      <c r="R68" s="31"/>
      <c r="S68" s="31"/>
      <c r="T68" s="31"/>
    </row>
    <row r="69" spans="2:20">
      <c r="B69" s="5"/>
      <c r="C69" s="5"/>
      <c r="D69" s="5"/>
      <c r="E69" s="38"/>
      <c r="F69" s="29"/>
      <c r="G69" s="29"/>
      <c r="H69" s="29"/>
      <c r="I69" s="29"/>
      <c r="J69" s="29"/>
      <c r="L69" s="31"/>
      <c r="M69" s="31"/>
      <c r="Q69" s="33"/>
      <c r="R69" s="31"/>
      <c r="S69" s="31"/>
      <c r="T69" s="31"/>
    </row>
    <row r="70" spans="2:20">
      <c r="B70" s="5"/>
      <c r="C70" s="5"/>
      <c r="D70" s="5"/>
      <c r="E70" s="38"/>
      <c r="F70" s="29"/>
      <c r="G70" s="29"/>
      <c r="H70" s="29"/>
      <c r="I70" s="29"/>
      <c r="J70" s="29"/>
      <c r="L70" s="31"/>
      <c r="M70" s="31"/>
      <c r="Q70" s="33"/>
      <c r="R70" s="31"/>
      <c r="S70" s="31"/>
      <c r="T70" s="31"/>
    </row>
    <row r="71" spans="2:20">
      <c r="B71" s="5"/>
      <c r="C71" s="5"/>
      <c r="D71" s="5"/>
      <c r="E71" s="38"/>
      <c r="F71" s="29"/>
      <c r="G71" s="29"/>
      <c r="H71" s="29"/>
      <c r="I71" s="29"/>
      <c r="J71" s="29"/>
      <c r="L71" s="31"/>
      <c r="M71" s="31"/>
      <c r="Q71" s="33"/>
      <c r="R71" s="31"/>
      <c r="S71" s="31"/>
      <c r="T71" s="31"/>
    </row>
    <row r="72" spans="2:20">
      <c r="B72" s="37"/>
      <c r="C72" s="37"/>
      <c r="D72" s="37"/>
      <c r="E72" s="36"/>
      <c r="F72" s="80"/>
      <c r="G72" s="80"/>
      <c r="H72" s="80"/>
      <c r="I72" s="80"/>
      <c r="J72" s="80"/>
      <c r="L72" s="31"/>
      <c r="M72" s="31"/>
      <c r="Q72" s="33"/>
      <c r="R72" s="31"/>
      <c r="S72" s="31"/>
      <c r="T72" s="31"/>
    </row>
    <row r="73" spans="2:20">
      <c r="B73" s="5"/>
      <c r="C73" s="5"/>
      <c r="D73" s="5"/>
      <c r="E73" s="38"/>
      <c r="F73" s="29"/>
      <c r="G73" s="29"/>
      <c r="H73" s="29"/>
      <c r="I73" s="29"/>
      <c r="J73" s="29"/>
      <c r="L73" s="31"/>
      <c r="M73" s="31"/>
      <c r="Q73" s="33"/>
      <c r="R73" s="31"/>
      <c r="S73" s="31"/>
      <c r="T73" s="31"/>
    </row>
    <row r="74" spans="2:20">
      <c r="B74" s="37"/>
      <c r="C74" s="37"/>
      <c r="D74" s="37"/>
      <c r="E74" s="36"/>
      <c r="F74" s="80"/>
      <c r="G74" s="80"/>
      <c r="H74" s="80"/>
      <c r="I74" s="80"/>
      <c r="J74" s="80"/>
      <c r="L74" s="31"/>
      <c r="M74" s="31"/>
      <c r="Q74" s="33"/>
      <c r="R74" s="31"/>
      <c r="S74" s="31"/>
      <c r="T74" s="31"/>
    </row>
    <row r="75" spans="2:20">
      <c r="B75" s="5"/>
      <c r="C75" s="5"/>
      <c r="D75" s="5"/>
      <c r="E75" s="38"/>
      <c r="F75" s="29"/>
      <c r="G75" s="29"/>
      <c r="H75" s="29"/>
      <c r="I75" s="29"/>
      <c r="J75" s="29"/>
      <c r="L75" s="31"/>
      <c r="M75" s="31"/>
      <c r="Q75" s="33"/>
      <c r="R75" s="31"/>
      <c r="S75" s="31"/>
      <c r="T75" s="31"/>
    </row>
    <row r="76" spans="2:20">
      <c r="B76" s="5"/>
      <c r="C76" s="5"/>
      <c r="D76" s="5"/>
      <c r="E76" s="38"/>
      <c r="F76" s="29"/>
      <c r="G76" s="29"/>
      <c r="H76" s="29"/>
      <c r="I76" s="29"/>
      <c r="J76" s="29"/>
      <c r="L76" s="31"/>
      <c r="M76" s="31"/>
      <c r="Q76" s="33"/>
      <c r="R76" s="31"/>
      <c r="S76" s="31"/>
      <c r="T76" s="31"/>
    </row>
    <row r="77" spans="2:20">
      <c r="B77" s="5"/>
      <c r="C77" s="5"/>
      <c r="D77" s="5"/>
      <c r="E77" s="38"/>
      <c r="F77" s="29"/>
      <c r="G77" s="29"/>
      <c r="H77" s="29"/>
      <c r="I77" s="29"/>
      <c r="J77" s="29"/>
      <c r="L77" s="31"/>
      <c r="M77" s="31"/>
      <c r="Q77" s="33"/>
      <c r="R77" s="31"/>
      <c r="S77" s="31"/>
      <c r="T77" s="31"/>
    </row>
    <row r="78" spans="2:20">
      <c r="B78" s="5"/>
      <c r="C78" s="5"/>
      <c r="D78" s="5"/>
      <c r="E78" s="38"/>
      <c r="F78" s="29"/>
      <c r="G78" s="29"/>
      <c r="H78" s="29"/>
      <c r="I78" s="29"/>
      <c r="J78" s="29"/>
      <c r="L78" s="31"/>
      <c r="M78" s="31"/>
      <c r="Q78" s="33"/>
      <c r="R78" s="31"/>
      <c r="S78" s="31"/>
      <c r="T78" s="31"/>
    </row>
    <row r="79" spans="2:20">
      <c r="B79" s="5"/>
      <c r="C79" s="5"/>
      <c r="D79" s="5"/>
      <c r="E79" s="38"/>
      <c r="F79" s="29"/>
      <c r="G79" s="29"/>
      <c r="H79" s="29"/>
      <c r="I79" s="29"/>
      <c r="J79" s="29"/>
      <c r="L79" s="31"/>
      <c r="M79" s="31"/>
      <c r="Q79" s="33"/>
      <c r="R79" s="31"/>
      <c r="S79" s="31"/>
      <c r="T79" s="31"/>
    </row>
    <row r="80" spans="2:20">
      <c r="B80" s="5"/>
      <c r="C80" s="5"/>
      <c r="D80" s="5"/>
      <c r="E80" s="38"/>
      <c r="F80" s="29"/>
      <c r="G80" s="29"/>
      <c r="H80" s="29"/>
      <c r="I80" s="29"/>
      <c r="J80" s="29"/>
      <c r="L80" s="31"/>
      <c r="M80" s="31"/>
      <c r="Q80" s="33"/>
      <c r="R80" s="31"/>
      <c r="S80" s="31"/>
      <c r="T80" s="31"/>
    </row>
    <row r="81" spans="2:20">
      <c r="B81" s="5"/>
      <c r="C81" s="5"/>
      <c r="D81" s="5"/>
      <c r="E81" s="38"/>
      <c r="F81" s="29"/>
      <c r="G81" s="29"/>
      <c r="H81" s="29"/>
      <c r="I81" s="29"/>
      <c r="J81" s="29"/>
      <c r="L81" s="31"/>
      <c r="M81" s="31"/>
      <c r="R81" s="31"/>
      <c r="S81" s="31"/>
      <c r="T81" s="31"/>
    </row>
    <row r="82" spans="2:20">
      <c r="B82" s="5"/>
      <c r="C82" s="5"/>
      <c r="D82" s="5"/>
      <c r="E82" s="38"/>
      <c r="F82" s="29"/>
      <c r="G82" s="29"/>
      <c r="H82" s="29"/>
      <c r="I82" s="29"/>
      <c r="J82" s="29"/>
      <c r="L82" s="31"/>
      <c r="M82" s="31"/>
      <c r="R82" s="31"/>
      <c r="S82" s="31"/>
      <c r="T82" s="31"/>
    </row>
    <row r="83" spans="2:20">
      <c r="B83" s="5"/>
      <c r="C83" s="5"/>
      <c r="D83" s="5"/>
      <c r="E83" s="38"/>
      <c r="F83" s="29"/>
      <c r="G83" s="29"/>
      <c r="H83" s="29"/>
      <c r="I83" s="29"/>
      <c r="J83" s="29"/>
      <c r="L83" s="31"/>
      <c r="M83" s="31"/>
      <c r="R83" s="31"/>
      <c r="S83" s="31"/>
      <c r="T83" s="31"/>
    </row>
    <row r="84" spans="2:20">
      <c r="B84" s="5"/>
      <c r="C84" s="5"/>
      <c r="D84" s="5"/>
      <c r="E84" s="38"/>
      <c r="F84" s="29"/>
      <c r="G84" s="29"/>
      <c r="H84" s="29"/>
      <c r="I84" s="29"/>
      <c r="J84" s="29"/>
      <c r="L84" s="31"/>
      <c r="M84" s="31"/>
      <c r="R84" s="31"/>
      <c r="S84" s="31"/>
      <c r="T84" s="31"/>
    </row>
    <row r="85" spans="2:20">
      <c r="B85" s="5"/>
      <c r="C85" s="5"/>
      <c r="D85" s="5"/>
      <c r="E85" s="38"/>
      <c r="F85" s="29"/>
      <c r="G85" s="29"/>
      <c r="H85" s="29"/>
      <c r="I85" s="29"/>
      <c r="J85" s="29"/>
      <c r="L85" s="31"/>
      <c r="M85" s="31"/>
      <c r="R85" s="31"/>
      <c r="S85" s="31"/>
      <c r="T85" s="31"/>
    </row>
    <row r="86" spans="2:20">
      <c r="B86" s="5"/>
      <c r="C86" s="5"/>
      <c r="D86" s="5"/>
      <c r="E86" s="38"/>
      <c r="F86" s="29"/>
      <c r="G86" s="29"/>
      <c r="H86" s="29"/>
      <c r="I86" s="29"/>
      <c r="J86" s="29"/>
      <c r="L86" s="31"/>
      <c r="M86" s="31"/>
      <c r="R86" s="31"/>
      <c r="S86" s="31"/>
      <c r="T86" s="31"/>
    </row>
    <row r="87" spans="2:20">
      <c r="B87" s="5"/>
      <c r="C87" s="5"/>
      <c r="D87" s="5"/>
      <c r="E87" s="38"/>
      <c r="F87" s="29"/>
      <c r="G87" s="29"/>
      <c r="H87" s="29"/>
      <c r="I87" s="29"/>
      <c r="J87" s="29"/>
      <c r="L87" s="31"/>
      <c r="M87" s="31"/>
      <c r="R87" s="31"/>
      <c r="S87" s="31"/>
      <c r="T87" s="31"/>
    </row>
    <row r="88" spans="2:20">
      <c r="B88" s="5"/>
      <c r="C88" s="5"/>
      <c r="D88" s="5"/>
      <c r="E88" s="38"/>
      <c r="F88" s="29"/>
      <c r="G88" s="29"/>
      <c r="H88" s="29"/>
      <c r="I88" s="29"/>
      <c r="J88" s="29"/>
      <c r="L88" s="31"/>
      <c r="M88" s="31"/>
      <c r="R88" s="31"/>
      <c r="S88" s="31"/>
      <c r="T88" s="31"/>
    </row>
    <row r="89" spans="2:20">
      <c r="B89" s="5"/>
      <c r="C89" s="5"/>
      <c r="D89" s="5"/>
      <c r="E89" s="38"/>
      <c r="F89" s="29"/>
      <c r="G89" s="29"/>
      <c r="H89" s="29"/>
      <c r="I89" s="29"/>
      <c r="J89" s="29"/>
      <c r="L89" s="31"/>
      <c r="M89" s="31"/>
      <c r="R89" s="31"/>
      <c r="S89" s="31"/>
      <c r="T89" s="31"/>
    </row>
    <row r="90" spans="2:20">
      <c r="B90" s="5"/>
      <c r="C90" s="5"/>
      <c r="D90" s="5"/>
      <c r="E90" s="38"/>
      <c r="F90" s="29"/>
      <c r="G90" s="29"/>
      <c r="H90" s="29"/>
      <c r="I90" s="29"/>
      <c r="J90" s="29"/>
      <c r="L90" s="31"/>
      <c r="M90" s="31"/>
      <c r="R90" s="31"/>
      <c r="S90" s="31"/>
      <c r="T90" s="31"/>
    </row>
    <row r="91" spans="2:20">
      <c r="B91" s="5"/>
      <c r="C91" s="5"/>
      <c r="D91" s="5"/>
      <c r="E91" s="38"/>
      <c r="F91" s="29"/>
      <c r="G91" s="29"/>
      <c r="H91" s="29"/>
      <c r="I91" s="29"/>
      <c r="J91" s="29"/>
      <c r="L91" s="31"/>
      <c r="M91" s="31"/>
      <c r="R91" s="31"/>
      <c r="S91" s="31"/>
      <c r="T91" s="31"/>
    </row>
    <row r="92" spans="2:20">
      <c r="B92" s="37"/>
      <c r="C92" s="37"/>
      <c r="D92" s="37"/>
      <c r="E92" s="36"/>
      <c r="F92" s="35"/>
      <c r="G92" s="34"/>
      <c r="H92" s="34"/>
      <c r="I92" s="34"/>
      <c r="J92" s="34"/>
      <c r="L92" s="31"/>
      <c r="M92" s="31"/>
      <c r="R92" s="31"/>
      <c r="S92" s="31"/>
      <c r="T92" s="31"/>
    </row>
    <row r="93" spans="2:20">
      <c r="E93" s="32"/>
      <c r="F93" s="33"/>
      <c r="G93" s="33"/>
      <c r="H93" s="33"/>
      <c r="I93" s="33"/>
      <c r="J93" s="31"/>
      <c r="L93" s="31"/>
      <c r="M93" s="31"/>
      <c r="R93" s="31"/>
      <c r="S93" s="31"/>
      <c r="T93" s="31"/>
    </row>
    <row r="94" spans="2:20">
      <c r="E94" s="32"/>
      <c r="F94" s="33"/>
      <c r="G94" s="33"/>
      <c r="H94" s="33"/>
      <c r="I94" s="33"/>
      <c r="J94" s="31"/>
      <c r="L94" s="31"/>
      <c r="M94" s="31"/>
      <c r="R94" s="31"/>
      <c r="S94" s="31"/>
      <c r="T94" s="31"/>
    </row>
    <row r="95" spans="2:20">
      <c r="E95" s="32"/>
      <c r="F95" s="33"/>
      <c r="G95" s="33"/>
      <c r="H95" s="33"/>
      <c r="I95" s="33"/>
      <c r="J95" s="31"/>
      <c r="L95" s="31"/>
      <c r="M95" s="31"/>
      <c r="R95" s="31"/>
      <c r="S95" s="31"/>
      <c r="T95" s="31"/>
    </row>
    <row r="96" spans="2:20">
      <c r="E96" s="32"/>
      <c r="F96" s="33"/>
      <c r="G96" s="33"/>
      <c r="J96" s="31"/>
      <c r="L96" s="31"/>
      <c r="M96" s="31"/>
      <c r="R96" s="31"/>
      <c r="S96" s="31"/>
      <c r="T96" s="31"/>
    </row>
    <row r="97" spans="5:20">
      <c r="E97" s="32"/>
      <c r="F97" s="33"/>
      <c r="G97" s="33"/>
      <c r="H97" s="33"/>
      <c r="I97" s="33"/>
      <c r="J97" s="31"/>
      <c r="L97" s="31"/>
      <c r="M97" s="31"/>
      <c r="R97" s="31"/>
      <c r="S97" s="31"/>
      <c r="T97" s="31"/>
    </row>
    <row r="98" spans="5:20">
      <c r="E98" s="32"/>
      <c r="F98" s="33"/>
      <c r="G98" s="33"/>
      <c r="H98" s="33"/>
      <c r="I98" s="33"/>
      <c r="J98" s="31"/>
      <c r="L98" s="31"/>
      <c r="M98" s="31"/>
      <c r="R98" s="31"/>
      <c r="S98" s="31"/>
      <c r="T98" s="31"/>
    </row>
    <row r="99" spans="5:20">
      <c r="E99" s="32"/>
      <c r="F99" s="33"/>
      <c r="G99" s="33"/>
      <c r="H99" s="33"/>
      <c r="I99" s="33"/>
      <c r="J99" s="31"/>
      <c r="L99" s="31"/>
      <c r="M99" s="31"/>
      <c r="R99" s="31"/>
      <c r="S99" s="31"/>
      <c r="T99" s="31"/>
    </row>
    <row r="100" spans="5:20">
      <c r="E100" s="32"/>
      <c r="F100" s="33"/>
      <c r="G100" s="33"/>
      <c r="H100" s="33"/>
      <c r="I100" s="33"/>
      <c r="J100" s="31"/>
      <c r="L100" s="31"/>
      <c r="M100" s="31"/>
      <c r="R100" s="31"/>
      <c r="S100" s="31"/>
      <c r="T100" s="31"/>
    </row>
    <row r="101" spans="5:20">
      <c r="E101" s="32"/>
      <c r="F101" s="33"/>
      <c r="G101" s="33"/>
      <c r="H101" s="33"/>
      <c r="I101" s="33"/>
      <c r="J101" s="31"/>
      <c r="L101" s="31"/>
      <c r="M101" s="31"/>
      <c r="R101" s="31"/>
      <c r="S101" s="31"/>
      <c r="T101" s="31"/>
    </row>
    <row r="102" spans="5:20">
      <c r="E102" s="32"/>
      <c r="F102" s="33"/>
      <c r="G102" s="33"/>
      <c r="H102" s="33"/>
      <c r="I102" s="33"/>
      <c r="J102" s="31"/>
      <c r="L102" s="31"/>
      <c r="M102" s="31"/>
      <c r="R102" s="31"/>
      <c r="S102" s="31"/>
      <c r="T102" s="31"/>
    </row>
    <row r="103" spans="5:20">
      <c r="E103" s="32"/>
      <c r="F103" s="33"/>
      <c r="G103" s="33"/>
      <c r="H103" s="33"/>
      <c r="I103" s="33"/>
      <c r="J103" s="31"/>
      <c r="L103" s="31"/>
      <c r="M103" s="31"/>
      <c r="R103" s="31"/>
      <c r="S103" s="31"/>
      <c r="T103" s="31"/>
    </row>
    <row r="104" spans="5:20">
      <c r="E104" s="32"/>
      <c r="F104" s="33"/>
      <c r="G104" s="33"/>
      <c r="H104" s="33"/>
      <c r="I104" s="33"/>
      <c r="J104" s="31"/>
      <c r="L104" s="31"/>
      <c r="M104" s="31"/>
      <c r="R104" s="31"/>
      <c r="S104" s="31"/>
      <c r="T104" s="31"/>
    </row>
    <row r="105" spans="5:20">
      <c r="E105" s="32"/>
      <c r="F105" s="33"/>
      <c r="G105" s="33"/>
      <c r="H105" s="33"/>
      <c r="I105" s="33"/>
      <c r="J105" s="31"/>
      <c r="L105" s="31"/>
      <c r="M105" s="31"/>
      <c r="R105" s="31"/>
      <c r="S105" s="31"/>
      <c r="T105" s="31"/>
    </row>
    <row r="106" spans="5:20">
      <c r="E106" s="32"/>
      <c r="F106" s="33"/>
      <c r="G106" s="33"/>
      <c r="H106" s="33"/>
      <c r="I106" s="33"/>
      <c r="J106" s="31"/>
      <c r="L106" s="31"/>
      <c r="M106" s="31"/>
      <c r="R106" s="31"/>
      <c r="S106" s="31"/>
      <c r="T106" s="31"/>
    </row>
    <row r="107" spans="5:20">
      <c r="E107" s="32"/>
      <c r="F107" s="33"/>
      <c r="G107" s="33"/>
      <c r="H107" s="33"/>
      <c r="I107" s="33"/>
      <c r="J107" s="31"/>
      <c r="L107" s="31"/>
      <c r="M107" s="31"/>
      <c r="R107" s="31"/>
      <c r="S107" s="31"/>
      <c r="T107" s="31"/>
    </row>
    <row r="108" spans="5:20">
      <c r="E108" s="32"/>
      <c r="F108" s="33"/>
      <c r="G108" s="33"/>
      <c r="H108" s="33"/>
      <c r="I108" s="33"/>
      <c r="J108" s="31"/>
      <c r="L108" s="31"/>
      <c r="M108" s="31"/>
      <c r="R108" s="31"/>
      <c r="S108" s="31"/>
      <c r="T108" s="31"/>
    </row>
    <row r="109" spans="5:20">
      <c r="E109" s="32"/>
      <c r="F109" s="33"/>
      <c r="G109" s="33"/>
      <c r="H109" s="33"/>
      <c r="I109" s="33"/>
      <c r="J109" s="31"/>
      <c r="L109" s="31"/>
      <c r="M109" s="31"/>
      <c r="R109" s="31"/>
      <c r="S109" s="31"/>
      <c r="T109" s="31"/>
    </row>
    <row r="110" spans="5:20">
      <c r="E110" s="32"/>
      <c r="F110" s="33"/>
      <c r="G110" s="33"/>
      <c r="H110" s="33"/>
      <c r="I110" s="33"/>
      <c r="J110" s="31"/>
      <c r="L110" s="31"/>
      <c r="M110" s="31"/>
      <c r="R110" s="31"/>
      <c r="S110" s="31"/>
      <c r="T110" s="31"/>
    </row>
    <row r="111" spans="5:20">
      <c r="E111" s="32"/>
      <c r="F111" s="33"/>
      <c r="G111" s="33"/>
      <c r="H111" s="33"/>
      <c r="I111" s="33"/>
      <c r="J111" s="31"/>
      <c r="L111" s="31"/>
      <c r="M111" s="31"/>
      <c r="R111" s="31"/>
      <c r="S111" s="31"/>
      <c r="T111" s="31"/>
    </row>
    <row r="112" spans="5:20">
      <c r="E112" s="32"/>
      <c r="F112" s="33"/>
      <c r="G112" s="33"/>
      <c r="H112" s="33"/>
      <c r="I112" s="33"/>
      <c r="J112" s="31"/>
      <c r="L112" s="31"/>
      <c r="M112" s="31"/>
      <c r="R112" s="31"/>
      <c r="S112" s="31"/>
      <c r="T112" s="31"/>
    </row>
    <row r="113" spans="5:20">
      <c r="E113" s="32"/>
      <c r="F113" s="33"/>
      <c r="G113" s="33"/>
      <c r="H113" s="33"/>
      <c r="I113" s="33"/>
      <c r="J113" s="31"/>
      <c r="L113" s="31"/>
      <c r="M113" s="31"/>
      <c r="R113" s="31"/>
      <c r="S113" s="31"/>
      <c r="T113" s="31"/>
    </row>
    <row r="114" spans="5:20">
      <c r="E114" s="32"/>
      <c r="F114" s="33"/>
      <c r="G114" s="33"/>
      <c r="H114" s="33"/>
      <c r="I114" s="33"/>
      <c r="J114" s="31"/>
      <c r="L114" s="31"/>
      <c r="M114" s="31"/>
      <c r="R114" s="31"/>
      <c r="S114" s="31"/>
      <c r="T114" s="31"/>
    </row>
    <row r="115" spans="5:20">
      <c r="E115" s="32"/>
      <c r="F115" s="33"/>
      <c r="G115" s="33"/>
      <c r="H115" s="33"/>
      <c r="I115" s="33"/>
      <c r="J115" s="31"/>
      <c r="L115" s="31"/>
      <c r="M115" s="31"/>
      <c r="R115" s="31"/>
      <c r="S115" s="31"/>
      <c r="T115" s="31"/>
    </row>
    <row r="116" spans="5:20">
      <c r="E116" s="32"/>
      <c r="F116" s="33"/>
      <c r="G116" s="33"/>
      <c r="H116" s="33"/>
      <c r="I116" s="33"/>
      <c r="J116" s="31"/>
      <c r="L116" s="31"/>
      <c r="M116" s="31"/>
      <c r="R116" s="31"/>
      <c r="S116" s="31"/>
      <c r="T116" s="31"/>
    </row>
    <row r="117" spans="5:20">
      <c r="E117" s="32"/>
      <c r="F117" s="33"/>
      <c r="G117" s="33"/>
      <c r="H117" s="33"/>
      <c r="I117" s="33"/>
      <c r="J117" s="31"/>
      <c r="L117" s="31"/>
      <c r="M117" s="31"/>
      <c r="R117" s="31"/>
      <c r="S117" s="31"/>
      <c r="T117" s="31"/>
    </row>
    <row r="118" spans="5:20">
      <c r="E118" s="32"/>
      <c r="F118" s="33"/>
      <c r="G118" s="33"/>
      <c r="H118" s="33"/>
      <c r="I118" s="33"/>
      <c r="J118" s="31"/>
      <c r="L118" s="31"/>
      <c r="M118" s="31"/>
      <c r="R118" s="31"/>
      <c r="S118" s="31"/>
      <c r="T118" s="31"/>
    </row>
    <row r="119" spans="5:20">
      <c r="E119" s="32"/>
      <c r="F119" s="33"/>
      <c r="G119" s="33"/>
      <c r="H119" s="33"/>
      <c r="I119" s="33"/>
      <c r="J119" s="31"/>
      <c r="L119" s="31"/>
      <c r="M119" s="31"/>
      <c r="R119" s="31"/>
      <c r="S119" s="31"/>
      <c r="T119" s="31"/>
    </row>
    <row r="120" spans="5:20">
      <c r="E120" s="32"/>
      <c r="F120" s="33"/>
      <c r="G120" s="33"/>
      <c r="H120" s="33"/>
      <c r="I120" s="33"/>
      <c r="J120" s="31"/>
      <c r="L120" s="31"/>
      <c r="M120" s="31"/>
      <c r="R120" s="31"/>
      <c r="S120" s="31"/>
      <c r="T120" s="31"/>
    </row>
    <row r="121" spans="5:20">
      <c r="E121" s="32"/>
      <c r="F121" s="33"/>
      <c r="G121" s="33"/>
      <c r="H121" s="33"/>
      <c r="I121" s="33"/>
      <c r="J121" s="31"/>
      <c r="L121" s="31"/>
      <c r="M121" s="31"/>
      <c r="R121" s="31"/>
      <c r="S121" s="31"/>
      <c r="T121" s="31"/>
    </row>
    <row r="122" spans="5:20">
      <c r="E122" s="32"/>
      <c r="F122" s="33"/>
      <c r="G122" s="33"/>
      <c r="H122" s="33"/>
      <c r="I122" s="33"/>
      <c r="J122" s="31"/>
      <c r="L122" s="31"/>
      <c r="M122" s="31"/>
      <c r="R122" s="31"/>
      <c r="S122" s="31"/>
      <c r="T122" s="31"/>
    </row>
    <row r="123" spans="5:20">
      <c r="E123" s="32"/>
      <c r="F123" s="33"/>
      <c r="G123" s="33"/>
      <c r="H123" s="33"/>
      <c r="I123" s="33"/>
      <c r="J123" s="31"/>
      <c r="L123" s="31"/>
      <c r="M123" s="31"/>
      <c r="R123" s="31"/>
      <c r="S123" s="31"/>
      <c r="T123" s="31"/>
    </row>
    <row r="124" spans="5:20">
      <c r="E124" s="32"/>
      <c r="F124" s="33"/>
      <c r="G124" s="33"/>
      <c r="H124" s="33"/>
      <c r="I124" s="33"/>
      <c r="J124" s="31"/>
      <c r="L124" s="31"/>
      <c r="M124" s="31"/>
      <c r="R124" s="31"/>
      <c r="S124" s="31"/>
      <c r="T124" s="31"/>
    </row>
    <row r="125" spans="5:20">
      <c r="E125" s="32"/>
      <c r="F125" s="33"/>
      <c r="G125" s="33"/>
      <c r="H125" s="33"/>
      <c r="I125" s="33"/>
      <c r="J125" s="31"/>
      <c r="L125" s="31"/>
      <c r="M125" s="31"/>
      <c r="R125" s="31"/>
      <c r="S125" s="31"/>
      <c r="T125" s="31"/>
    </row>
    <row r="126" spans="5:20">
      <c r="E126" s="32"/>
      <c r="F126" s="33"/>
      <c r="G126" s="33"/>
      <c r="H126" s="33"/>
      <c r="I126" s="33"/>
      <c r="J126" s="31"/>
      <c r="L126" s="31"/>
      <c r="M126" s="31"/>
      <c r="R126" s="31"/>
      <c r="S126" s="31"/>
      <c r="T126" s="31"/>
    </row>
    <row r="127" spans="5:20">
      <c r="E127" s="32"/>
      <c r="F127" s="33"/>
      <c r="G127" s="33"/>
      <c r="H127" s="33"/>
      <c r="I127" s="33"/>
      <c r="J127" s="31"/>
      <c r="L127" s="31"/>
      <c r="M127" s="31"/>
      <c r="R127" s="31"/>
      <c r="S127" s="31"/>
      <c r="T127" s="31"/>
    </row>
    <row r="128" spans="5:20">
      <c r="E128" s="32"/>
      <c r="F128" s="33"/>
      <c r="G128" s="33"/>
      <c r="H128" s="33"/>
      <c r="I128" s="33"/>
      <c r="J128" s="31"/>
      <c r="L128" s="31"/>
      <c r="M128" s="31"/>
      <c r="R128" s="31"/>
      <c r="S128" s="31"/>
      <c r="T128" s="31"/>
    </row>
    <row r="129" spans="5:20">
      <c r="E129" s="32"/>
      <c r="F129" s="33"/>
      <c r="G129" s="33"/>
      <c r="H129" s="33"/>
      <c r="I129" s="33"/>
      <c r="J129" s="31"/>
      <c r="L129" s="31"/>
      <c r="M129" s="31"/>
      <c r="R129" s="31"/>
      <c r="S129" s="31"/>
      <c r="T129" s="31"/>
    </row>
    <row r="130" spans="5:20">
      <c r="E130" s="32"/>
      <c r="F130" s="33"/>
      <c r="G130" s="33"/>
      <c r="H130" s="33"/>
      <c r="I130" s="33"/>
      <c r="J130" s="31"/>
      <c r="L130" s="31"/>
      <c r="M130" s="31"/>
      <c r="R130" s="31"/>
      <c r="S130" s="31"/>
      <c r="T130" s="31"/>
    </row>
    <row r="131" spans="5:20">
      <c r="E131" s="32"/>
      <c r="F131" s="33"/>
      <c r="G131" s="33"/>
      <c r="H131" s="33"/>
      <c r="I131" s="33"/>
      <c r="J131" s="31"/>
      <c r="L131" s="31"/>
      <c r="M131" s="31"/>
      <c r="R131" s="31"/>
      <c r="S131" s="31"/>
      <c r="T131" s="31"/>
    </row>
    <row r="132" spans="5:20">
      <c r="E132" s="32"/>
      <c r="F132" s="33"/>
      <c r="G132" s="33"/>
      <c r="H132" s="33"/>
      <c r="I132" s="33"/>
      <c r="J132" s="31"/>
      <c r="L132" s="31"/>
      <c r="M132" s="31"/>
      <c r="R132" s="31"/>
      <c r="S132" s="31"/>
      <c r="T132" s="31"/>
    </row>
    <row r="133" spans="5:20">
      <c r="E133" s="32"/>
      <c r="F133" s="33"/>
      <c r="G133" s="33"/>
      <c r="H133" s="33"/>
      <c r="I133" s="33"/>
      <c r="J133" s="31"/>
      <c r="L133" s="31"/>
      <c r="M133" s="31"/>
      <c r="R133" s="31"/>
      <c r="S133" s="31"/>
      <c r="T133" s="31"/>
    </row>
    <row r="134" spans="5:20">
      <c r="E134" s="32"/>
      <c r="F134" s="33"/>
      <c r="G134" s="33"/>
      <c r="H134" s="33"/>
      <c r="I134" s="33"/>
      <c r="J134" s="31"/>
      <c r="L134" s="31"/>
      <c r="M134" s="31"/>
      <c r="R134" s="31"/>
      <c r="S134" s="31"/>
      <c r="T134" s="31"/>
    </row>
    <row r="135" spans="5:20">
      <c r="E135" s="32"/>
      <c r="F135" s="33"/>
      <c r="G135" s="33"/>
      <c r="H135" s="33"/>
      <c r="I135" s="33"/>
      <c r="J135" s="31"/>
      <c r="L135" s="31"/>
      <c r="M135" s="31"/>
      <c r="R135" s="31"/>
      <c r="S135" s="31"/>
      <c r="T135" s="31"/>
    </row>
    <row r="136" spans="5:20">
      <c r="E136" s="32"/>
      <c r="F136" s="33"/>
      <c r="G136" s="33"/>
      <c r="H136" s="33"/>
      <c r="I136" s="33"/>
      <c r="J136" s="31"/>
      <c r="L136" s="31"/>
      <c r="M136" s="31"/>
      <c r="R136" s="31"/>
      <c r="S136" s="31"/>
      <c r="T136" s="31"/>
    </row>
    <row r="137" spans="5:20">
      <c r="E137" s="32"/>
      <c r="F137" s="33"/>
      <c r="G137" s="33"/>
      <c r="H137" s="33"/>
      <c r="I137" s="33"/>
      <c r="J137" s="31"/>
      <c r="L137" s="31"/>
      <c r="M137" s="31"/>
      <c r="R137" s="31"/>
      <c r="S137" s="31"/>
      <c r="T137" s="31"/>
    </row>
    <row r="138" spans="5:20">
      <c r="E138" s="32"/>
      <c r="F138" s="33"/>
      <c r="G138" s="33"/>
      <c r="H138" s="33"/>
      <c r="I138" s="33"/>
      <c r="J138" s="31"/>
      <c r="L138" s="31"/>
      <c r="M138" s="31"/>
      <c r="R138" s="31"/>
      <c r="S138" s="31"/>
      <c r="T138" s="31"/>
    </row>
    <row r="139" spans="5:20">
      <c r="E139" s="32"/>
      <c r="F139" s="33"/>
      <c r="G139" s="33"/>
      <c r="H139" s="33"/>
      <c r="I139" s="33"/>
      <c r="J139" s="31"/>
      <c r="L139" s="31"/>
      <c r="M139" s="31"/>
      <c r="R139" s="31"/>
      <c r="S139" s="31"/>
      <c r="T139" s="31"/>
    </row>
    <row r="140" spans="5:20">
      <c r="E140" s="32"/>
      <c r="F140" s="33"/>
      <c r="G140" s="33"/>
      <c r="H140" s="33"/>
      <c r="I140" s="33"/>
      <c r="J140" s="31"/>
      <c r="L140" s="31"/>
      <c r="M140" s="31"/>
      <c r="R140" s="31"/>
      <c r="S140" s="31"/>
      <c r="T140" s="31"/>
    </row>
    <row r="141" spans="5:20">
      <c r="E141" s="32"/>
      <c r="L141" s="31"/>
      <c r="M141" s="31"/>
      <c r="R141" s="31"/>
      <c r="S141" s="31"/>
      <c r="T141" s="31"/>
    </row>
    <row r="142" spans="5:20">
      <c r="E142" s="32"/>
      <c r="F142" s="33"/>
      <c r="G142" s="33"/>
      <c r="H142" s="33"/>
      <c r="I142" s="33"/>
      <c r="J142" s="31"/>
      <c r="L142" s="31"/>
      <c r="M142" s="31"/>
      <c r="R142" s="31"/>
      <c r="S142" s="31"/>
      <c r="T142" s="31"/>
    </row>
    <row r="143" spans="5:20">
      <c r="E143" s="32"/>
      <c r="F143" s="33"/>
      <c r="G143" s="33"/>
      <c r="H143" s="33"/>
      <c r="I143" s="33"/>
      <c r="J143" s="31"/>
      <c r="L143" s="31"/>
      <c r="M143" s="31"/>
      <c r="R143" s="31"/>
      <c r="S143" s="31"/>
      <c r="T143" s="31"/>
    </row>
    <row r="144" spans="5:20">
      <c r="E144" s="32"/>
      <c r="F144" s="33"/>
      <c r="G144" s="33"/>
      <c r="H144" s="33"/>
      <c r="I144" s="33"/>
      <c r="J144" s="31"/>
      <c r="L144" s="31"/>
      <c r="M144" s="31"/>
      <c r="R144" s="31"/>
      <c r="S144" s="31"/>
      <c r="T144" s="31"/>
    </row>
    <row r="145" spans="5:20">
      <c r="E145" s="32"/>
      <c r="F145" s="33"/>
      <c r="G145" s="33"/>
      <c r="H145" s="33"/>
      <c r="I145" s="33"/>
      <c r="J145" s="31"/>
      <c r="L145" s="31"/>
      <c r="M145" s="31"/>
      <c r="R145" s="31"/>
      <c r="S145" s="31"/>
      <c r="T145" s="31"/>
    </row>
    <row r="146" spans="5:20">
      <c r="E146" s="32"/>
      <c r="F146" s="33"/>
      <c r="G146" s="33"/>
      <c r="H146" s="33"/>
      <c r="I146" s="33"/>
      <c r="J146" s="31"/>
      <c r="L146" s="31"/>
      <c r="M146" s="31"/>
      <c r="R146" s="31"/>
      <c r="S146" s="31"/>
      <c r="T146" s="31"/>
    </row>
    <row r="147" spans="5:20">
      <c r="E147" s="32"/>
      <c r="F147" s="33"/>
      <c r="G147" s="33"/>
      <c r="H147" s="33"/>
      <c r="I147" s="33"/>
      <c r="J147" s="31"/>
      <c r="L147" s="31"/>
      <c r="M147" s="31"/>
      <c r="R147" s="31"/>
      <c r="S147" s="31"/>
      <c r="T147" s="31"/>
    </row>
    <row r="148" spans="5:20">
      <c r="E148" s="32"/>
      <c r="F148" s="33"/>
      <c r="G148" s="33"/>
      <c r="H148" s="33"/>
      <c r="I148" s="33"/>
      <c r="J148" s="31"/>
      <c r="L148" s="31"/>
      <c r="M148" s="31"/>
      <c r="R148" s="31"/>
      <c r="S148" s="31"/>
      <c r="T148" s="31"/>
    </row>
    <row r="149" spans="5:20">
      <c r="E149" s="32"/>
      <c r="F149" s="33"/>
      <c r="G149" s="33"/>
      <c r="H149" s="33"/>
      <c r="I149" s="33"/>
      <c r="J149" s="31"/>
      <c r="L149" s="31"/>
      <c r="M149" s="31"/>
      <c r="R149" s="31"/>
      <c r="S149" s="31"/>
      <c r="T149" s="31"/>
    </row>
    <row r="150" spans="5:20">
      <c r="E150" s="32"/>
      <c r="F150" s="33"/>
      <c r="G150" s="33"/>
      <c r="H150" s="33"/>
      <c r="I150" s="33"/>
      <c r="J150" s="31"/>
      <c r="L150" s="31"/>
      <c r="M150" s="31"/>
      <c r="R150" s="31"/>
      <c r="S150" s="31"/>
      <c r="T150" s="31"/>
    </row>
    <row r="151" spans="5:20">
      <c r="E151" s="32"/>
      <c r="F151" s="33"/>
      <c r="G151" s="33"/>
      <c r="H151" s="33"/>
      <c r="I151" s="33"/>
      <c r="J151" s="31"/>
      <c r="L151" s="31"/>
      <c r="M151" s="31"/>
      <c r="R151" s="31"/>
      <c r="S151" s="31"/>
      <c r="T151" s="31"/>
    </row>
    <row r="152" spans="5:20">
      <c r="E152" s="32"/>
      <c r="F152" s="33"/>
      <c r="G152" s="33"/>
      <c r="H152" s="33"/>
      <c r="I152" s="33"/>
      <c r="J152" s="31"/>
      <c r="L152" s="31"/>
      <c r="M152" s="31"/>
      <c r="R152" s="31"/>
      <c r="S152" s="31"/>
      <c r="T152" s="31"/>
    </row>
    <row r="153" spans="5:20">
      <c r="E153" s="32"/>
      <c r="F153" s="33"/>
      <c r="G153" s="33"/>
      <c r="H153" s="33"/>
      <c r="I153" s="33"/>
      <c r="J153" s="31"/>
      <c r="L153" s="31"/>
      <c r="M153" s="31"/>
      <c r="R153" s="31"/>
      <c r="S153" s="31"/>
      <c r="T153" s="31"/>
    </row>
    <row r="154" spans="5:20">
      <c r="E154" s="32"/>
      <c r="F154" s="33"/>
      <c r="G154" s="33"/>
      <c r="H154" s="33"/>
      <c r="I154" s="33"/>
      <c r="J154" s="31"/>
      <c r="L154" s="31"/>
      <c r="M154" s="31"/>
      <c r="R154" s="31"/>
      <c r="S154" s="31"/>
      <c r="T154" s="31"/>
    </row>
    <row r="155" spans="5:20">
      <c r="E155" s="32"/>
      <c r="F155" s="33"/>
      <c r="G155" s="33"/>
      <c r="H155" s="33"/>
      <c r="I155" s="33"/>
      <c r="J155" s="31"/>
      <c r="L155" s="31"/>
      <c r="M155" s="31"/>
      <c r="R155" s="31"/>
      <c r="S155" s="31"/>
      <c r="T155" s="31"/>
    </row>
    <row r="156" spans="5:20">
      <c r="E156" s="32"/>
      <c r="G156" s="33"/>
      <c r="I156" s="33"/>
      <c r="J156" s="31"/>
      <c r="L156" s="31"/>
      <c r="M156" s="31"/>
      <c r="R156" s="31"/>
      <c r="S156" s="31"/>
      <c r="T156" s="31"/>
    </row>
    <row r="157" spans="5:20">
      <c r="E157" s="32"/>
      <c r="J157" s="31"/>
      <c r="L157" s="31"/>
      <c r="M157" s="31"/>
      <c r="R157" s="31"/>
      <c r="S157" s="31"/>
      <c r="T157" s="31"/>
    </row>
    <row r="158" spans="5:20">
      <c r="E158" s="32"/>
      <c r="J158" s="31"/>
      <c r="L158" s="31"/>
      <c r="M158" s="31"/>
      <c r="R158" s="31"/>
      <c r="S158" s="31"/>
      <c r="T158" s="31"/>
    </row>
    <row r="159" spans="5:20">
      <c r="E159" s="32"/>
      <c r="J159" s="31"/>
      <c r="L159" s="31"/>
      <c r="M159" s="31"/>
      <c r="R159" s="31"/>
      <c r="S159" s="31"/>
      <c r="T159" s="31"/>
    </row>
    <row r="160" spans="5:20">
      <c r="E160" s="32"/>
      <c r="J160" s="31"/>
      <c r="L160" s="31"/>
      <c r="M160" s="31"/>
      <c r="R160" s="31"/>
      <c r="S160" s="31"/>
      <c r="T160" s="31"/>
    </row>
    <row r="161" spans="5:20">
      <c r="E161" s="32"/>
      <c r="J161" s="31"/>
      <c r="L161" s="31"/>
      <c r="M161" s="31"/>
      <c r="R161" s="31"/>
      <c r="S161" s="31"/>
      <c r="T161" s="31"/>
    </row>
    <row r="162" spans="5:20">
      <c r="E162" s="32"/>
      <c r="J162" s="31"/>
      <c r="L162" s="31"/>
      <c r="M162" s="31"/>
      <c r="R162" s="31"/>
      <c r="S162" s="31"/>
      <c r="T162" s="31"/>
    </row>
    <row r="163" spans="5:20">
      <c r="E163" s="32"/>
      <c r="J163" s="31"/>
      <c r="L163" s="31"/>
      <c r="M163" s="31"/>
      <c r="R163" s="31"/>
      <c r="S163" s="31"/>
      <c r="T163" s="31"/>
    </row>
    <row r="164" spans="5:20">
      <c r="E164" s="32"/>
      <c r="J164" s="31"/>
      <c r="L164" s="31"/>
      <c r="M164" s="31"/>
      <c r="R164" s="31"/>
      <c r="S164" s="31"/>
      <c r="T164" s="31"/>
    </row>
    <row r="165" spans="5:20">
      <c r="E165" s="32"/>
      <c r="J165" s="31"/>
      <c r="L165" s="31"/>
      <c r="M165" s="31"/>
      <c r="R165" s="31"/>
      <c r="S165" s="31"/>
      <c r="T165" s="31"/>
    </row>
    <row r="166" spans="5:20">
      <c r="E166" s="32"/>
      <c r="J166" s="31"/>
      <c r="L166" s="31"/>
      <c r="M166" s="31"/>
      <c r="R166" s="31"/>
      <c r="S166" s="31"/>
      <c r="T166" s="31"/>
    </row>
    <row r="167" spans="5:20">
      <c r="E167" s="32"/>
      <c r="J167" s="31"/>
      <c r="L167" s="31"/>
      <c r="M167" s="31"/>
      <c r="R167" s="31"/>
      <c r="S167" s="31"/>
      <c r="T167" s="31"/>
    </row>
    <row r="168" spans="5:20">
      <c r="E168" s="32"/>
      <c r="J168" s="31"/>
      <c r="L168" s="31"/>
      <c r="M168" s="31"/>
      <c r="R168" s="31"/>
      <c r="S168" s="31"/>
      <c r="T168" s="31"/>
    </row>
    <row r="169" spans="5:20">
      <c r="E169" s="32"/>
      <c r="J169" s="31"/>
      <c r="L169" s="31"/>
      <c r="M169" s="31"/>
      <c r="R169" s="31"/>
      <c r="S169" s="31"/>
      <c r="T169" s="31"/>
    </row>
    <row r="170" spans="5:20">
      <c r="E170" s="32"/>
      <c r="J170" s="31"/>
      <c r="L170" s="31"/>
      <c r="M170" s="31"/>
      <c r="R170" s="31"/>
      <c r="S170" s="31"/>
      <c r="T170" s="31"/>
    </row>
    <row r="171" spans="5:20">
      <c r="E171" s="32"/>
      <c r="J171" s="31"/>
      <c r="L171" s="31"/>
      <c r="M171" s="31"/>
      <c r="R171" s="31"/>
      <c r="S171" s="31"/>
      <c r="T171" s="31"/>
    </row>
    <row r="172" spans="5:20">
      <c r="E172" s="32"/>
      <c r="J172" s="31"/>
      <c r="L172" s="31"/>
      <c r="M172" s="31"/>
      <c r="R172" s="31"/>
      <c r="S172" s="31"/>
      <c r="T172" s="31"/>
    </row>
    <row r="173" spans="5:20">
      <c r="E173" s="32"/>
      <c r="J173" s="31"/>
      <c r="L173" s="31"/>
      <c r="M173" s="31"/>
      <c r="R173" s="31"/>
      <c r="S173" s="31"/>
      <c r="T173" s="31"/>
    </row>
    <row r="174" spans="5:20">
      <c r="E174" s="32"/>
      <c r="G174" s="33"/>
      <c r="J174" s="31"/>
      <c r="L174" s="31"/>
      <c r="M174" s="31"/>
      <c r="R174" s="31"/>
      <c r="S174" s="31"/>
      <c r="T174" s="31"/>
    </row>
    <row r="175" spans="5:20">
      <c r="E175" s="32"/>
      <c r="F175" s="33"/>
      <c r="G175" s="33"/>
      <c r="J175" s="31"/>
      <c r="L175" s="31"/>
      <c r="M175" s="31"/>
      <c r="R175" s="31"/>
      <c r="S175" s="31"/>
      <c r="T175" s="31"/>
    </row>
    <row r="176" spans="5:20">
      <c r="E176" s="32"/>
      <c r="F176" s="33"/>
      <c r="G176" s="33"/>
      <c r="H176" s="33"/>
      <c r="I176" s="33"/>
      <c r="J176" s="31"/>
      <c r="L176" s="31"/>
      <c r="M176" s="31"/>
      <c r="R176" s="31"/>
      <c r="S176" s="31"/>
      <c r="T176" s="31"/>
    </row>
    <row r="177" spans="5:20">
      <c r="E177" s="32"/>
      <c r="F177" s="33"/>
      <c r="G177" s="33"/>
      <c r="H177" s="33"/>
      <c r="I177" s="33"/>
      <c r="J177" s="31"/>
      <c r="L177" s="31"/>
      <c r="M177" s="31"/>
      <c r="R177" s="31"/>
      <c r="S177" s="31"/>
      <c r="T177" s="31"/>
    </row>
    <row r="178" spans="5:20">
      <c r="E178" s="32"/>
      <c r="F178" s="33"/>
      <c r="G178" s="33"/>
      <c r="H178" s="33"/>
      <c r="I178" s="33"/>
      <c r="J178" s="31"/>
      <c r="L178" s="31"/>
      <c r="M178" s="31"/>
      <c r="R178" s="31"/>
      <c r="S178" s="31"/>
      <c r="T178" s="31"/>
    </row>
    <row r="179" spans="5:20">
      <c r="E179" s="32"/>
      <c r="F179" s="33"/>
      <c r="G179" s="33"/>
      <c r="H179" s="33"/>
      <c r="I179" s="33"/>
      <c r="J179" s="31"/>
      <c r="L179" s="31"/>
      <c r="M179" s="31"/>
      <c r="R179" s="31"/>
      <c r="S179" s="31"/>
      <c r="T179" s="31"/>
    </row>
    <row r="180" spans="5:20">
      <c r="E180" s="32"/>
      <c r="F180" s="33"/>
      <c r="G180" s="33"/>
      <c r="H180" s="33"/>
      <c r="I180" s="33"/>
      <c r="J180" s="31"/>
      <c r="L180" s="31"/>
      <c r="M180" s="31"/>
      <c r="R180" s="31"/>
      <c r="S180" s="31"/>
      <c r="T180" s="31"/>
    </row>
    <row r="181" spans="5:20">
      <c r="E181" s="32"/>
      <c r="G181" s="33"/>
      <c r="I181" s="33"/>
      <c r="J181" s="31"/>
      <c r="L181" s="31"/>
      <c r="M181" s="31"/>
      <c r="R181" s="31"/>
      <c r="S181" s="31"/>
      <c r="T181" s="31"/>
    </row>
    <row r="182" spans="5:20">
      <c r="E182" s="32"/>
      <c r="J182" s="31"/>
      <c r="L182" s="31"/>
      <c r="M182" s="31"/>
      <c r="R182" s="31"/>
      <c r="S182" s="31"/>
      <c r="T182" s="31"/>
    </row>
    <row r="183" spans="5:20">
      <c r="E183" s="32"/>
      <c r="F183" s="33"/>
      <c r="G183" s="33"/>
      <c r="J183" s="31"/>
      <c r="L183" s="31"/>
      <c r="M183" s="31"/>
      <c r="R183" s="31"/>
      <c r="S183" s="31"/>
      <c r="T183" s="31"/>
    </row>
    <row r="184" spans="5:20">
      <c r="E184" s="32"/>
      <c r="F184" s="33"/>
      <c r="G184" s="33"/>
      <c r="J184" s="31"/>
      <c r="L184" s="31"/>
      <c r="M184" s="31"/>
      <c r="R184" s="31"/>
      <c r="S184" s="31"/>
      <c r="T184" s="31"/>
    </row>
    <row r="185" spans="5:20">
      <c r="E185" s="32"/>
      <c r="F185" s="33"/>
      <c r="G185" s="33"/>
      <c r="H185" s="33"/>
      <c r="I185" s="33"/>
      <c r="J185" s="31"/>
      <c r="L185" s="31"/>
      <c r="M185" s="31"/>
      <c r="R185" s="31"/>
      <c r="S185" s="31"/>
      <c r="T185" s="31"/>
    </row>
    <row r="186" spans="5:20">
      <c r="E186" s="32"/>
      <c r="G186" s="33"/>
      <c r="I186" s="33"/>
      <c r="J186" s="31"/>
      <c r="L186" s="31"/>
      <c r="M186" s="31"/>
      <c r="R186" s="31"/>
      <c r="S186" s="31"/>
      <c r="T186" s="31"/>
    </row>
    <row r="187" spans="5:20">
      <c r="E187" s="32"/>
      <c r="G187" s="33"/>
      <c r="J187" s="31"/>
      <c r="L187" s="31"/>
      <c r="M187" s="31"/>
      <c r="R187" s="31"/>
      <c r="S187" s="31"/>
      <c r="T187" s="31"/>
    </row>
    <row r="188" spans="5:20">
      <c r="E188" s="32"/>
      <c r="F188" s="33"/>
      <c r="G188" s="33"/>
      <c r="I188" s="33"/>
      <c r="J188" s="31"/>
      <c r="L188" s="31"/>
      <c r="M188" s="31"/>
      <c r="R188" s="31"/>
      <c r="S188" s="31"/>
      <c r="T188" s="31"/>
    </row>
    <row r="189" spans="5:20">
      <c r="E189" s="32"/>
      <c r="J189" s="31"/>
      <c r="L189" s="31"/>
      <c r="M189" s="31"/>
      <c r="R189" s="31"/>
      <c r="S189" s="31"/>
      <c r="T189" s="31"/>
    </row>
    <row r="190" spans="5:20">
      <c r="E190" s="32"/>
      <c r="J190" s="31"/>
      <c r="L190" s="31"/>
      <c r="M190" s="31"/>
      <c r="R190" s="31"/>
      <c r="S190" s="31"/>
      <c r="T190" s="31"/>
    </row>
    <row r="191" spans="5:20">
      <c r="E191" s="32"/>
      <c r="J191" s="31"/>
      <c r="L191" s="31"/>
      <c r="M191" s="31"/>
      <c r="R191" s="31"/>
      <c r="S191" s="31"/>
      <c r="T191" s="31"/>
    </row>
    <row r="192" spans="5:20">
      <c r="E192" s="32"/>
      <c r="J192" s="31"/>
      <c r="L192" s="31"/>
      <c r="M192" s="31"/>
      <c r="R192" s="31"/>
      <c r="S192" s="31"/>
      <c r="T192" s="31"/>
    </row>
    <row r="193" spans="5:20">
      <c r="E193" s="32"/>
      <c r="J193" s="31"/>
      <c r="L193" s="31"/>
      <c r="M193" s="31"/>
      <c r="R193" s="31"/>
      <c r="S193" s="31"/>
      <c r="T193" s="31"/>
    </row>
    <row r="194" spans="5:20">
      <c r="E194" s="32"/>
      <c r="G194" s="33"/>
      <c r="I194" s="33"/>
      <c r="J194" s="31"/>
      <c r="L194" s="31"/>
      <c r="M194" s="31"/>
      <c r="R194" s="31"/>
      <c r="S194" s="31"/>
      <c r="T194" s="31"/>
    </row>
    <row r="195" spans="5:20">
      <c r="E195" s="32"/>
      <c r="F195" s="33"/>
      <c r="G195" s="33"/>
      <c r="J195" s="31"/>
      <c r="L195" s="31"/>
      <c r="M195" s="31"/>
      <c r="R195" s="31"/>
      <c r="S195" s="31"/>
      <c r="T195" s="31"/>
    </row>
    <row r="196" spans="5:20">
      <c r="E196" s="32"/>
      <c r="G196" s="33"/>
      <c r="I196" s="33"/>
      <c r="J196" s="31"/>
      <c r="L196" s="31"/>
      <c r="M196" s="31"/>
      <c r="R196" s="31"/>
      <c r="S196" s="31"/>
      <c r="T196" s="31"/>
    </row>
    <row r="197" spans="5:20">
      <c r="E197" s="32"/>
      <c r="G197" s="33"/>
      <c r="J197" s="31"/>
      <c r="L197" s="31"/>
      <c r="M197" s="31"/>
      <c r="R197" s="31"/>
      <c r="S197" s="31"/>
      <c r="T197" s="31"/>
    </row>
    <row r="198" spans="5:20">
      <c r="E198" s="32"/>
      <c r="G198" s="33"/>
      <c r="I198" s="33"/>
      <c r="J198" s="31"/>
      <c r="L198" s="31"/>
      <c r="M198" s="31"/>
      <c r="R198" s="31"/>
      <c r="S198" s="31"/>
      <c r="T198" s="31"/>
    </row>
    <row r="199" spans="5:20">
      <c r="E199" s="32"/>
      <c r="J199" s="31"/>
      <c r="L199" s="31"/>
      <c r="M199" s="31"/>
      <c r="R199" s="31"/>
      <c r="S199" s="31"/>
      <c r="T199" s="31"/>
    </row>
    <row r="200" spans="5:20">
      <c r="E200" s="32"/>
      <c r="J200" s="31"/>
      <c r="L200" s="31"/>
      <c r="M200" s="31"/>
      <c r="R200" s="31"/>
      <c r="S200" s="31"/>
      <c r="T200" s="31"/>
    </row>
    <row r="201" spans="5:20">
      <c r="E201" s="32"/>
      <c r="J201" s="31"/>
      <c r="L201" s="31"/>
      <c r="M201" s="31"/>
      <c r="R201" s="31"/>
      <c r="S201" s="31"/>
      <c r="T201" s="31"/>
    </row>
    <row r="202" spans="5:20">
      <c r="E202" s="32"/>
      <c r="J202" s="31"/>
      <c r="L202" s="31"/>
      <c r="M202" s="31"/>
      <c r="R202" s="31"/>
      <c r="S202" s="31"/>
      <c r="T202" s="31"/>
    </row>
    <row r="203" spans="5:20">
      <c r="E203" s="32"/>
      <c r="J203" s="31"/>
      <c r="L203" s="31"/>
      <c r="M203" s="31"/>
      <c r="R203" s="31"/>
      <c r="S203" s="31"/>
      <c r="T203" s="31"/>
    </row>
    <row r="204" spans="5:20">
      <c r="E204" s="32"/>
      <c r="J204" s="31"/>
      <c r="L204" s="31"/>
      <c r="M204" s="31"/>
      <c r="R204" s="31"/>
      <c r="S204" s="31"/>
      <c r="T204" s="31"/>
    </row>
    <row r="205" spans="5:20">
      <c r="E205" s="32"/>
      <c r="F205" s="33"/>
      <c r="G205" s="33"/>
      <c r="J205" s="31"/>
      <c r="L205" s="31"/>
      <c r="M205" s="31"/>
      <c r="R205" s="31"/>
      <c r="S205" s="31"/>
      <c r="T205" s="31"/>
    </row>
    <row r="206" spans="5:20">
      <c r="E206" s="32"/>
      <c r="G206" s="33"/>
      <c r="J206" s="31"/>
      <c r="L206" s="31"/>
      <c r="M206" s="31"/>
      <c r="R206" s="31"/>
      <c r="S206" s="31"/>
      <c r="T206" s="31"/>
    </row>
    <row r="207" spans="5:20">
      <c r="E207" s="32"/>
      <c r="J207" s="31"/>
      <c r="L207" s="31"/>
      <c r="M207" s="31"/>
      <c r="R207" s="31"/>
      <c r="S207" s="31"/>
      <c r="T207" s="31"/>
    </row>
    <row r="208" spans="5:20">
      <c r="E208" s="32"/>
      <c r="J208" s="31"/>
      <c r="L208" s="31"/>
      <c r="M208" s="31"/>
      <c r="R208" s="31"/>
      <c r="S208" s="31"/>
      <c r="T208" s="31"/>
    </row>
    <row r="209" spans="5:20">
      <c r="E209" s="32"/>
      <c r="J209" s="31"/>
      <c r="L209" s="31"/>
      <c r="M209" s="31"/>
      <c r="R209" s="31"/>
      <c r="S209" s="31"/>
      <c r="T209" s="31"/>
    </row>
    <row r="210" spans="5:20">
      <c r="E210" s="32"/>
      <c r="J210" s="31"/>
      <c r="L210" s="31"/>
      <c r="M210" s="31"/>
      <c r="R210" s="31"/>
      <c r="S210" s="31"/>
      <c r="T210" s="31"/>
    </row>
    <row r="211" spans="5:20">
      <c r="E211" s="32"/>
      <c r="J211" s="31"/>
      <c r="L211" s="31"/>
      <c r="M211" s="31"/>
      <c r="R211" s="31"/>
      <c r="S211" s="31"/>
      <c r="T211" s="31"/>
    </row>
    <row r="212" spans="5:20">
      <c r="E212" s="32"/>
      <c r="J212" s="31"/>
      <c r="L212" s="31"/>
      <c r="M212" s="31"/>
      <c r="R212" s="31"/>
      <c r="S212" s="31"/>
      <c r="T212" s="31"/>
    </row>
    <row r="213" spans="5:20">
      <c r="E213" s="32"/>
      <c r="J213" s="31"/>
      <c r="L213" s="31"/>
      <c r="M213" s="31"/>
      <c r="R213" s="31"/>
      <c r="S213" s="31"/>
      <c r="T213" s="31"/>
    </row>
    <row r="214" spans="5:20">
      <c r="E214" s="32"/>
      <c r="J214" s="31"/>
      <c r="L214" s="31"/>
      <c r="M214" s="31"/>
      <c r="R214" s="31"/>
      <c r="S214" s="31"/>
      <c r="T214" s="31"/>
    </row>
    <row r="215" spans="5:20">
      <c r="E215" s="32"/>
      <c r="J215" s="31"/>
      <c r="L215" s="31"/>
      <c r="M215" s="31"/>
      <c r="R215" s="31"/>
      <c r="S215" s="31"/>
      <c r="T215" s="31"/>
    </row>
    <row r="216" spans="5:20">
      <c r="E216" s="32"/>
      <c r="J216" s="31"/>
      <c r="L216" s="31"/>
      <c r="M216" s="31"/>
      <c r="R216" s="31"/>
      <c r="S216" s="31"/>
      <c r="T216" s="31"/>
    </row>
    <row r="217" spans="5:20">
      <c r="E217" s="32"/>
      <c r="J217" s="31"/>
      <c r="L217" s="31"/>
      <c r="M217" s="31"/>
      <c r="R217" s="31"/>
      <c r="S217" s="31"/>
      <c r="T217" s="31"/>
    </row>
    <row r="218" spans="5:20">
      <c r="E218" s="32"/>
      <c r="J218" s="31"/>
      <c r="L218" s="31"/>
      <c r="M218" s="31"/>
      <c r="R218" s="31"/>
      <c r="S218" s="31"/>
      <c r="T218" s="31"/>
    </row>
    <row r="219" spans="5:20">
      <c r="E219" s="32"/>
      <c r="J219" s="31"/>
      <c r="L219" s="31"/>
      <c r="M219" s="31"/>
      <c r="R219" s="31"/>
      <c r="S219" s="31"/>
      <c r="T219" s="31"/>
    </row>
    <row r="220" spans="5:20">
      <c r="E220" s="32"/>
      <c r="J220" s="31"/>
      <c r="L220" s="31"/>
      <c r="M220" s="31"/>
      <c r="R220" s="31"/>
      <c r="S220" s="31"/>
      <c r="T220" s="31"/>
    </row>
    <row r="221" spans="5:20">
      <c r="E221" s="32"/>
      <c r="F221" s="33"/>
      <c r="G221" s="33"/>
      <c r="J221" s="31"/>
      <c r="L221" s="31"/>
      <c r="M221" s="31"/>
      <c r="R221" s="31"/>
      <c r="S221" s="31"/>
      <c r="T221" s="31"/>
    </row>
    <row r="222" spans="5:20">
      <c r="E222" s="32"/>
      <c r="F222" s="33"/>
      <c r="G222" s="33"/>
      <c r="J222" s="31"/>
      <c r="L222" s="31"/>
      <c r="M222" s="31"/>
      <c r="R222" s="31"/>
      <c r="S222" s="31"/>
      <c r="T222" s="31"/>
    </row>
    <row r="223" spans="5:20">
      <c r="E223" s="32"/>
      <c r="G223" s="33"/>
      <c r="I223" s="33"/>
      <c r="J223" s="31"/>
      <c r="L223" s="31"/>
      <c r="M223" s="31"/>
      <c r="R223" s="31"/>
      <c r="S223" s="31"/>
      <c r="T223" s="31"/>
    </row>
    <row r="224" spans="5:20">
      <c r="E224" s="32"/>
      <c r="G224" s="33"/>
      <c r="J224" s="31"/>
      <c r="L224" s="31"/>
      <c r="M224" s="31"/>
      <c r="R224" s="31"/>
      <c r="S224" s="31"/>
      <c r="T224" s="31"/>
    </row>
    <row r="225" spans="5:20">
      <c r="E225" s="32"/>
      <c r="F225" s="33"/>
      <c r="G225" s="33"/>
      <c r="J225" s="31"/>
      <c r="L225" s="31"/>
      <c r="M225" s="31"/>
      <c r="R225" s="31"/>
      <c r="S225" s="31"/>
      <c r="T225" s="31"/>
    </row>
    <row r="226" spans="5:20">
      <c r="E226" s="32"/>
      <c r="G226" s="33"/>
      <c r="I226" s="33"/>
      <c r="J226" s="31"/>
      <c r="L226" s="31"/>
      <c r="M226" s="31"/>
      <c r="R226" s="31"/>
      <c r="S226" s="31"/>
      <c r="T226" s="31"/>
    </row>
    <row r="227" spans="5:20">
      <c r="E227" s="32"/>
      <c r="J227" s="31"/>
      <c r="L227" s="31"/>
      <c r="M227" s="31"/>
      <c r="R227" s="31"/>
      <c r="S227" s="31"/>
      <c r="T227" s="31"/>
    </row>
    <row r="228" spans="5:20">
      <c r="E228" s="32"/>
      <c r="J228" s="31"/>
      <c r="L228" s="31"/>
      <c r="M228" s="31"/>
      <c r="R228" s="31"/>
      <c r="S228" s="31"/>
      <c r="T228" s="31"/>
    </row>
    <row r="229" spans="5:20">
      <c r="E229" s="32"/>
      <c r="G229" s="33"/>
      <c r="J229" s="31"/>
      <c r="L229" s="31"/>
      <c r="M229" s="31"/>
      <c r="R229" s="31"/>
      <c r="S229" s="31"/>
      <c r="T229" s="31"/>
    </row>
    <row r="230" spans="5:20">
      <c r="E230" s="32"/>
      <c r="G230" s="33"/>
      <c r="J230" s="31"/>
      <c r="L230" s="31"/>
      <c r="M230" s="31"/>
      <c r="R230" s="31"/>
      <c r="S230" s="31"/>
      <c r="T230" s="31"/>
    </row>
    <row r="231" spans="5:20">
      <c r="E231" s="32"/>
      <c r="G231" s="33"/>
      <c r="J231" s="31"/>
      <c r="L231" s="31"/>
      <c r="M231" s="31"/>
      <c r="R231" s="31"/>
      <c r="S231" s="31"/>
      <c r="T231" s="31"/>
    </row>
    <row r="232" spans="5:20">
      <c r="E232" s="32"/>
      <c r="G232" s="33"/>
      <c r="J232" s="31"/>
      <c r="L232" s="31"/>
      <c r="M232" s="31"/>
      <c r="R232" s="31"/>
      <c r="S232" s="31"/>
      <c r="T232" s="31"/>
    </row>
    <row r="233" spans="5:20">
      <c r="E233" s="32"/>
      <c r="F233" s="33"/>
      <c r="G233" s="33"/>
      <c r="J233" s="31"/>
      <c r="L233" s="31"/>
      <c r="M233" s="31"/>
      <c r="R233" s="31"/>
      <c r="S233" s="31"/>
      <c r="T233" s="31"/>
    </row>
    <row r="234" spans="5:20">
      <c r="E234" s="32"/>
      <c r="F234" s="33"/>
      <c r="G234" s="33"/>
      <c r="J234" s="31"/>
      <c r="L234" s="31"/>
      <c r="M234" s="31"/>
      <c r="R234" s="31"/>
      <c r="S234" s="31"/>
      <c r="T234" s="31"/>
    </row>
    <row r="235" spans="5:20">
      <c r="E235" s="32"/>
      <c r="G235" s="33"/>
      <c r="J235" s="31"/>
      <c r="L235" s="31"/>
      <c r="M235" s="31"/>
      <c r="R235" s="31"/>
      <c r="S235" s="31"/>
      <c r="T235" s="31"/>
    </row>
    <row r="236" spans="5:20">
      <c r="E236" s="32"/>
      <c r="F236" s="33"/>
      <c r="G236" s="33"/>
      <c r="J236" s="31"/>
      <c r="L236" s="31"/>
      <c r="M236" s="31"/>
      <c r="R236" s="31"/>
      <c r="S236" s="31"/>
      <c r="T236" s="31"/>
    </row>
    <row r="237" spans="5:20">
      <c r="E237" s="32"/>
      <c r="G237" s="33"/>
      <c r="I237" s="33"/>
      <c r="J237" s="31"/>
      <c r="L237" s="31"/>
      <c r="M237" s="31"/>
      <c r="R237" s="31"/>
      <c r="S237" s="31"/>
      <c r="T237" s="31"/>
    </row>
    <row r="238" spans="5:20">
      <c r="E238" s="32"/>
      <c r="G238" s="33"/>
      <c r="J238" s="31"/>
      <c r="L238" s="31"/>
      <c r="M238" s="31"/>
      <c r="R238" s="31"/>
      <c r="S238" s="31"/>
      <c r="T238" s="31"/>
    </row>
    <row r="239" spans="5:20">
      <c r="E239" s="32"/>
      <c r="J239" s="31"/>
    </row>
    <row r="240" spans="5:20">
      <c r="E240" s="32"/>
      <c r="J240" s="31"/>
    </row>
    <row r="241" spans="5:10">
      <c r="E241" s="32"/>
      <c r="J241" s="31"/>
    </row>
    <row r="242" spans="5:10">
      <c r="E242" s="32"/>
      <c r="J242" s="31"/>
    </row>
    <row r="243" spans="5:10">
      <c r="E243" s="32"/>
      <c r="J243" s="31"/>
    </row>
    <row r="244" spans="5:10">
      <c r="E244" s="32"/>
      <c r="J244" s="31"/>
    </row>
    <row r="245" spans="5:10">
      <c r="E245" s="32"/>
      <c r="J245" s="31"/>
    </row>
    <row r="246" spans="5:10">
      <c r="E246" s="32"/>
      <c r="J246" s="31"/>
    </row>
    <row r="247" spans="5:10">
      <c r="E247" s="32"/>
      <c r="J247" s="31"/>
    </row>
    <row r="248" spans="5:10">
      <c r="E248" s="32"/>
      <c r="J248" s="31"/>
    </row>
    <row r="249" spans="5:10">
      <c r="E249" s="32"/>
      <c r="J249" s="31"/>
    </row>
    <row r="250" spans="5:10">
      <c r="E250" s="32"/>
      <c r="J250" s="31"/>
    </row>
    <row r="251" spans="5:10">
      <c r="E251" s="32"/>
      <c r="J251" s="31"/>
    </row>
    <row r="252" spans="5:10">
      <c r="E252" s="32"/>
      <c r="J252" s="31"/>
    </row>
    <row r="253" spans="5:10">
      <c r="E253" s="32"/>
      <c r="J253" s="31"/>
    </row>
    <row r="254" spans="5:10">
      <c r="E254" s="32"/>
      <c r="J254" s="31"/>
    </row>
    <row r="255" spans="5:10">
      <c r="E255" s="32"/>
      <c r="J255" s="31"/>
    </row>
    <row r="256" spans="5:10">
      <c r="E256" s="32"/>
      <c r="J256" s="31"/>
    </row>
    <row r="257" spans="5:10">
      <c r="E257" s="32"/>
      <c r="J257" s="31"/>
    </row>
    <row r="258" spans="5:10">
      <c r="E258" s="32"/>
      <c r="J258" s="31"/>
    </row>
    <row r="259" spans="5:10">
      <c r="E259" s="32"/>
      <c r="J259" s="31"/>
    </row>
    <row r="260" spans="5:10">
      <c r="E260" s="32"/>
      <c r="J260" s="31"/>
    </row>
  </sheetData>
  <mergeCells count="29">
    <mergeCell ref="P18:T18"/>
    <mergeCell ref="P13:T13"/>
    <mergeCell ref="P14:T14"/>
    <mergeCell ref="C7:D7"/>
    <mergeCell ref="C8:D8"/>
    <mergeCell ref="L8:M8"/>
    <mergeCell ref="L9:M9"/>
    <mergeCell ref="P12:T12"/>
    <mergeCell ref="P23:T23"/>
    <mergeCell ref="P24:T24"/>
    <mergeCell ref="P25:T25"/>
    <mergeCell ref="P20:T20"/>
    <mergeCell ref="P21:T21"/>
    <mergeCell ref="P37:T37"/>
    <mergeCell ref="P22:T22"/>
    <mergeCell ref="P15:T15"/>
    <mergeCell ref="P38:T38"/>
    <mergeCell ref="P27:T27"/>
    <mergeCell ref="P28:T28"/>
    <mergeCell ref="P29:T29"/>
    <mergeCell ref="P33:T33"/>
    <mergeCell ref="P34:T34"/>
    <mergeCell ref="P35:T35"/>
    <mergeCell ref="P36:T36"/>
    <mergeCell ref="P30:T30"/>
    <mergeCell ref="P31:T31"/>
    <mergeCell ref="P32:T32"/>
    <mergeCell ref="P19:T19"/>
    <mergeCell ref="P26:T26"/>
  </mergeCells>
  <phoneticPr fontId="4"/>
  <conditionalFormatting sqref="L23:T23">
    <cfRule type="expression" dxfId="15" priority="5">
      <formula>$N$19&lt;&gt;1</formula>
    </cfRule>
  </conditionalFormatting>
  <conditionalFormatting sqref="N26">
    <cfRule type="expression" dxfId="14" priority="6">
      <formula>$N$25&lt;&gt;1</formula>
    </cfRule>
  </conditionalFormatting>
  <conditionalFormatting sqref="N28">
    <cfRule type="expression" dxfId="13" priority="7">
      <formula>N27&lt;&gt;5</formula>
    </cfRule>
  </conditionalFormatting>
  <conditionalFormatting sqref="N38">
    <cfRule type="expression" dxfId="12" priority="8">
      <formula>OR(N34&lt;&gt;1,N37&lt;&gt;5)</formula>
    </cfRule>
  </conditionalFormatting>
  <conditionalFormatting sqref="L35:T35">
    <cfRule type="expression" dxfId="11" priority="9">
      <formula>$N$19&lt;&gt;1</formula>
    </cfRule>
  </conditionalFormatting>
  <conditionalFormatting sqref="N35:N37">
    <cfRule type="expression" dxfId="10" priority="4">
      <formula>$N$34&lt;&gt;1</formula>
    </cfRule>
  </conditionalFormatting>
  <conditionalFormatting sqref="N25:N26">
    <cfRule type="expression" dxfId="9" priority="3">
      <formula>$N$21=2</formula>
    </cfRule>
  </conditionalFormatting>
  <conditionalFormatting sqref="N33">
    <cfRule type="expression" dxfId="8" priority="2">
      <formula>OR(AND($N$21&lt;&gt;1,$N$21&lt;&gt;2),$N$32&lt;&gt;1)</formula>
    </cfRule>
  </conditionalFormatting>
  <conditionalFormatting sqref="N30:N32">
    <cfRule type="expression" dxfId="7" priority="1">
      <formula>AND($N$21&lt;&gt;1,$N$21&lt;&gt;2)</formula>
    </cfRule>
  </conditionalFormatting>
  <dataValidations count="13">
    <dataValidation type="list" allowBlank="1" showErrorMessage="1" errorTitle="売買区分　入力値エラー" error="1，3以外の数値は入力できません" promptTitle="売買区分" prompt="1:売（売建）_x000a_3:買（買建)" sqref="N20">
      <formula1>"1,3"</formula1>
    </dataValidation>
    <dataValidation type="list" allowBlank="1" showErrorMessage="1" errorTitle="入力値エラー" error="0，1以外の数値は入力できません" promptTitle="注文種類" prompt="0：現物_x000a_1：信用" sqref="N19">
      <formula1>"0,1"</formula1>
    </dataValidation>
    <dataValidation type="list" allowBlank="1" showErrorMessage="1" errorTitle="注文区分　入力値エラー" error="0,1,2以外の数値は入力できません" promptTitle="注文区分" prompt="0:通常注文_x000a_1:指値付通常注文_x000a_2:逆指値注文" sqref="N21">
      <formula1>"0,1,2"</formula1>
    </dataValidation>
    <dataValidation type="list" allowBlank="1" showErrorMessage="1" errorTitle="SOR区分" error="0，1以外の数値は入力できません" promptTitle="SOR区分" prompt="0:通常注文_x000a_1:SOR注文" sqref="N22">
      <formula1>"0,1"</formula1>
    </dataValidation>
    <dataValidation type="list" allowBlank="1" showErrorMessage="1" errorTitle="口座区分　入力値エラー" error="0,1,2以外の数値は入力できません" promptTitle="口座区分" prompt="0:特定_x000a_1:一般_x000a_2:NISA" sqref="N29">
      <formula1>"0,1,2"</formula1>
    </dataValidation>
    <dataValidation type="list" allowBlank="1" showErrorMessage="1" errorTitle="執行条件　入力値エラー" error="1,2,3,4,5,6,7以外の数値は入力できません" promptTitle="執行条件" prompt="1:本日中_x000a_2:今週中_x000a_3:寄付_x000a_4:引け_x000a_5:期間指定_x000a_6:大引不成_x000a_7:不成" sqref="N27">
      <formula1>"1,2,3,4,5,6,7"</formula1>
    </dataValidation>
    <dataValidation type="list" allowBlank="1" showErrorMessage="1" errorTitle="価格区分　入力値エラー" error="0，1以外の数値は入力できません" promptTitle="価格区分" prompt="0：成行_x000a_1：指値" sqref="N25">
      <formula1>"0,1"</formula1>
    </dataValidation>
    <dataValidation type="list" allowBlank="1" showErrorMessage="1" errorTitle="信用区分　入力値エラー" error="1,2,3,4以外の数値は入力できません" promptTitle="信用区分" prompt="1:制度信用（６か月）_x000a_2:一般信用（無期限）_x000a_3:一般信用（14日）_x000a_4:一般信用（いちにち）" sqref="N23">
      <formula1>"1,2,3,4"</formula1>
    </dataValidation>
    <dataValidation type="list" allowBlank="1" showErrorMessage="1" errorTitle="逆指値条件区分　入力値エラー" error="1,2以外の数値は入力できません" promptTitle="逆指値条件区分" prompt="1:以上_x000a_2:以下" sqref="N31">
      <formula1>"1,2"</formula1>
    </dataValidation>
    <dataValidation type="list" allowBlank="1" showErrorMessage="1" errorTitle="逆指値価格区分　入力値エラー" error="0,1以外の数値は入力できません_x000a__x000a_" promptTitle="逆指値価格区分" prompt="0:成行_x000a_1:指値" sqref="N32">
      <formula1>"0,1"</formula1>
    </dataValidation>
    <dataValidation type="list" allowBlank="1" showErrorMessage="1" errorTitle="セット注文価格区分 入力値エラー" error="1,2以外の数値は入力できません" promptTitle="セット注文価格区分" prompt="1:指値_x000a_2:値幅指定_x000a_" sqref="N35">
      <formula1>"1,2"</formula1>
    </dataValidation>
    <dataValidation type="list" allowBlank="1" showErrorMessage="1" errorTitle="セット注文区分　入力値エラー" error="0,1以外の数値は入力できません" promptTitle="セット注文区分" prompt="0:予約しない_x000a_1:予約する" sqref="N34">
      <formula1>"0,1"</formula1>
    </dataValidation>
    <dataValidation type="list" allowBlank="1" showErrorMessage="1" errorTitle="セット注文価格区分 入力値エラー" error="1,2,3,4,5,6,7以外の数値は入力できません" promptTitle="セット注文価格区分" prompt="1:本日中_x000a_2:今週中_x000a_3:寄付_x000a_4:引け_x000a_5:期間指定_x000a_6:大引不成_x000a_7:不成" sqref="N37">
      <formula1>"1,2,3,4,5,6,7"</formula1>
    </dataValidation>
  </dataValidations>
  <pageMargins left="0.7" right="0.7" top="0.75" bottom="0.75" header="0.3" footer="0.3"/>
  <pageSetup scale="24"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U39"/>
  <sheetViews>
    <sheetView showGridLines="0" zoomScale="85" zoomScaleNormal="85" workbookViewId="0"/>
  </sheetViews>
  <sheetFormatPr defaultColWidth="9" defaultRowHeight="15.75"/>
  <cols>
    <col min="1" max="1" width="4" style="1" customWidth="1"/>
    <col min="2" max="2" width="13.375" style="1" bestFit="1" customWidth="1"/>
    <col min="3" max="4" width="10.5" style="1" customWidth="1"/>
    <col min="5" max="5" width="10.875" style="1" customWidth="1"/>
    <col min="6" max="6" width="13.375" style="1" bestFit="1" customWidth="1"/>
    <col min="7" max="8" width="9.125" style="1" bestFit="1" customWidth="1"/>
    <col min="9" max="10" width="9" style="1"/>
    <col min="11" max="11" width="13.375" style="1" bestFit="1" customWidth="1"/>
    <col min="12" max="12" width="11" style="1" bestFit="1" customWidth="1"/>
    <col min="13" max="13" width="15.25" style="1" customWidth="1"/>
    <col min="14" max="14" width="9" style="1"/>
    <col min="15" max="15" width="9" style="1" customWidth="1"/>
    <col min="16" max="16" width="17" style="1" customWidth="1"/>
    <col min="17" max="17" width="15.375" style="1" bestFit="1" customWidth="1"/>
    <col min="18" max="19" width="17.625" style="1" bestFit="1" customWidth="1"/>
    <col min="20" max="21" width="15.375" style="1" bestFit="1" customWidth="1"/>
    <col min="22" max="16384" width="9" style="1"/>
  </cols>
  <sheetData>
    <row r="2" spans="2:21" ht="18">
      <c r="B2" s="30" t="s">
        <v>181</v>
      </c>
    </row>
    <row r="3" spans="2:21" ht="18">
      <c r="B3" s="30" t="s">
        <v>99</v>
      </c>
    </row>
    <row r="4" spans="2:21" ht="18">
      <c r="B4" s="30" t="s">
        <v>180</v>
      </c>
    </row>
    <row r="5" spans="2:21" ht="18">
      <c r="B5" s="30" t="s">
        <v>97</v>
      </c>
    </row>
    <row r="7" spans="2:21">
      <c r="C7" s="100" t="s">
        <v>92</v>
      </c>
      <c r="D7" s="100"/>
      <c r="E7" s="100"/>
      <c r="F7" s="100"/>
      <c r="J7" s="49" t="s">
        <v>179</v>
      </c>
      <c r="K7" s="49" t="s">
        <v>178</v>
      </c>
      <c r="L7" s="112" t="s">
        <v>49</v>
      </c>
      <c r="M7" s="112"/>
      <c r="N7" s="112"/>
      <c r="O7" s="112"/>
      <c r="P7" s="112"/>
      <c r="Q7" s="112"/>
      <c r="R7" s="112"/>
      <c r="S7" s="112"/>
      <c r="T7" s="113"/>
      <c r="U7" s="113"/>
    </row>
    <row r="8" spans="2:21" ht="51.75" customHeight="1">
      <c r="B8" s="5" t="s">
        <v>89</v>
      </c>
      <c r="C8" s="109" t="str">
        <f>_xll.RssFOPMarket($K$12, "銘柄名称")</f>
        <v/>
      </c>
      <c r="D8" s="109"/>
      <c r="E8" s="109"/>
      <c r="F8" s="109"/>
      <c r="J8" s="47" t="s">
        <v>177</v>
      </c>
      <c r="K8" s="69"/>
      <c r="L8" s="110" t="s">
        <v>236</v>
      </c>
      <c r="M8" s="110"/>
      <c r="N8" s="110"/>
      <c r="O8" s="110"/>
      <c r="P8" s="110"/>
      <c r="Q8" s="110"/>
      <c r="R8" s="110"/>
      <c r="S8" s="110"/>
      <c r="T8" s="110"/>
      <c r="U8" s="110"/>
    </row>
    <row r="9" spans="2:21" ht="31.5" customHeight="1">
      <c r="J9" s="47" t="s">
        <v>176</v>
      </c>
      <c r="K9" s="69"/>
      <c r="L9" s="110" t="s">
        <v>175</v>
      </c>
      <c r="M9" s="110"/>
      <c r="N9" s="110"/>
      <c r="O9" s="110"/>
      <c r="P9" s="110"/>
      <c r="Q9" s="110"/>
      <c r="R9" s="110"/>
      <c r="S9" s="110"/>
      <c r="T9" s="111"/>
      <c r="U9" s="111"/>
    </row>
    <row r="10" spans="2:21">
      <c r="B10" s="23" t="s">
        <v>87</v>
      </c>
      <c r="C10" s="22" t="str">
        <f>_xll.RssFOPMarket($K$12,"現在値")</f>
        <v/>
      </c>
      <c r="D10" s="13" t="str">
        <f>_xll.RssFOPMarket($K$12,"現在値時刻")</f>
        <v/>
      </c>
      <c r="E10" s="39" t="s">
        <v>58</v>
      </c>
      <c r="F10" s="84" t="str">
        <f>_xll.RssFOPMarket($K$12,E10)</f>
        <v/>
      </c>
      <c r="G10" s="48" t="s">
        <v>244</v>
      </c>
      <c r="H10" s="13" t="str">
        <f>_xll.RssFOPMarket($K$12,G10)</f>
        <v/>
      </c>
      <c r="J10" s="47" t="s">
        <v>174</v>
      </c>
      <c r="K10" s="69"/>
      <c r="L10" s="110" t="s">
        <v>173</v>
      </c>
      <c r="M10" s="110"/>
      <c r="N10" s="110"/>
      <c r="O10" s="110"/>
      <c r="P10" s="110"/>
      <c r="Q10" s="110"/>
      <c r="R10" s="110"/>
      <c r="S10" s="110"/>
      <c r="T10" s="111"/>
      <c r="U10" s="111"/>
    </row>
    <row r="11" spans="2:21">
      <c r="B11" s="5" t="s">
        <v>172</v>
      </c>
      <c r="C11" s="22" t="str">
        <f>_xll.RssFOPMarket($K$12,"前日比")</f>
        <v/>
      </c>
      <c r="D11" s="85" t="e">
        <f>_xll.RssFOPMarket($K$12,"前日比率")/100</f>
        <v>#VALUE!</v>
      </c>
      <c r="E11" s="5" t="s">
        <v>241</v>
      </c>
      <c r="F11" s="84" t="str">
        <f>_xll.RssFOPMarket($K$12,"売買代金")</f>
        <v/>
      </c>
      <c r="G11" s="44" t="s">
        <v>171</v>
      </c>
      <c r="H11" s="13" t="str">
        <f>_xll.RssFOPMarket($K$12,G11)</f>
        <v/>
      </c>
      <c r="J11" s="47" t="s">
        <v>170</v>
      </c>
      <c r="K11" s="69"/>
      <c r="L11" s="110" t="s">
        <v>169</v>
      </c>
      <c r="M11" s="110"/>
      <c r="N11" s="110"/>
      <c r="O11" s="110"/>
      <c r="P11" s="110"/>
      <c r="Q11" s="110"/>
      <c r="R11" s="110"/>
      <c r="S11" s="110"/>
      <c r="T11" s="111"/>
      <c r="U11" s="111"/>
    </row>
    <row r="12" spans="2:21">
      <c r="B12" s="39" t="s">
        <v>168</v>
      </c>
      <c r="C12" s="22" t="str">
        <f>_xll.RssFOPMarket($K$12,"前日終値")</f>
        <v/>
      </c>
      <c r="D12" s="39" t="str">
        <f>_xll.RssFOPMarket($K$12,"前日日付")</f>
        <v/>
      </c>
      <c r="E12" s="5" t="s">
        <v>167</v>
      </c>
      <c r="F12" s="87" t="str">
        <f>_xll.RssFOPMarket($K$12,"出来高加重平均")</f>
        <v/>
      </c>
      <c r="G12" s="44" t="s">
        <v>166</v>
      </c>
      <c r="H12" s="13" t="str">
        <f>_xll.RssFOPMarket($K$12,G12)</f>
        <v/>
      </c>
      <c r="J12" s="46" t="s">
        <v>88</v>
      </c>
      <c r="K12" s="5" t="str">
        <f>_xll.RssFOPCode(K8,K9,K10,K11)</f>
        <v>ご指定の銘柄コードは存在しません。再入力してください。</v>
      </c>
      <c r="L12" s="45"/>
      <c r="M12" s="45"/>
      <c r="N12" s="45"/>
      <c r="O12" s="45"/>
      <c r="P12" s="45"/>
      <c r="Q12" s="45"/>
      <c r="R12" s="45"/>
      <c r="S12" s="45"/>
    </row>
    <row r="13" spans="2:21">
      <c r="B13" s="5" t="s">
        <v>165</v>
      </c>
      <c r="C13" s="22" t="str">
        <f>_xll.RssFOPMarket($K$12,"始値")</f>
        <v/>
      </c>
      <c r="D13" s="13" t="str">
        <f>_xll.RssFOPMarket($K$12,"始値時刻")</f>
        <v/>
      </c>
      <c r="E13" s="5" t="s">
        <v>164</v>
      </c>
      <c r="F13" s="84" t="str">
        <f>_xll.RssFOPMarket($K$12,E13)</f>
        <v/>
      </c>
      <c r="G13" s="44" t="s">
        <v>163</v>
      </c>
      <c r="H13" s="13" t="str">
        <f>_xll.RssFOPMarket($K$12,G13)</f>
        <v/>
      </c>
      <c r="I13" s="20"/>
      <c r="J13" s="21"/>
      <c r="P13" s="1" t="str">
        <f>_xll.RssFOPCapacityList($P$14:$U$14)</f>
        <v>=RssFOPCapacityList($P$14:$U$14) =&gt; 接続待ち</v>
      </c>
    </row>
    <row r="14" spans="2:21">
      <c r="B14" s="5" t="s">
        <v>68</v>
      </c>
      <c r="C14" s="22" t="str">
        <f>_xll.RssFOPMarket($K$12,"高値")</f>
        <v/>
      </c>
      <c r="D14" s="13" t="str">
        <f>_xll.RssFOPMarket($K$12,"高値時刻")</f>
        <v/>
      </c>
      <c r="E14" s="5" t="s">
        <v>204</v>
      </c>
      <c r="F14" s="86" t="str">
        <f>_xll.RssFOPMarket($K$12,E14)</f>
        <v/>
      </c>
      <c r="G14" s="44" t="s">
        <v>162</v>
      </c>
      <c r="H14" s="13" t="str">
        <f>_xll.RssFOPMarket($K$12,G14)</f>
        <v/>
      </c>
      <c r="I14" s="20"/>
      <c r="N14" s="1">
        <v>0</v>
      </c>
      <c r="P14" s="5" t="s">
        <v>161</v>
      </c>
      <c r="Q14" s="5" t="s">
        <v>160</v>
      </c>
      <c r="R14" s="5" t="s">
        <v>159</v>
      </c>
      <c r="S14" s="5" t="s">
        <v>158</v>
      </c>
      <c r="T14" s="5" t="s">
        <v>157</v>
      </c>
      <c r="U14" s="5" t="s">
        <v>156</v>
      </c>
    </row>
    <row r="15" spans="2:21">
      <c r="B15" s="5" t="s">
        <v>63</v>
      </c>
      <c r="C15" s="22" t="str">
        <f>_xll.RssFOPMarket($K$12,"安値")</f>
        <v/>
      </c>
      <c r="D15" s="13" t="str">
        <f>_xll.RssFOPMarket($K$12,"安値時刻")</f>
        <v/>
      </c>
      <c r="E15" s="5" t="s">
        <v>155</v>
      </c>
      <c r="F15" s="84" t="str">
        <f>_xll.RssFOPMarket($K$12,E15)</f>
        <v/>
      </c>
      <c r="G15" s="44" t="s">
        <v>154</v>
      </c>
      <c r="H15" s="13" t="str">
        <f>_xll.RssFOPMarket($K$12,G15)</f>
        <v/>
      </c>
      <c r="I15" s="20"/>
      <c r="P15" s="88"/>
      <c r="Q15" s="29"/>
      <c r="R15" s="29"/>
      <c r="S15" s="29"/>
      <c r="T15" s="29"/>
      <c r="U15" s="29"/>
    </row>
    <row r="16" spans="2:21">
      <c r="P16" s="2" t="s">
        <v>240</v>
      </c>
      <c r="Q16" s="2" t="s">
        <v>240</v>
      </c>
      <c r="R16" s="2" t="s">
        <v>240</v>
      </c>
      <c r="S16" s="2" t="s">
        <v>240</v>
      </c>
      <c r="T16" s="2" t="s">
        <v>240</v>
      </c>
      <c r="U16" s="2" t="s">
        <v>240</v>
      </c>
    </row>
    <row r="17" spans="2:21">
      <c r="B17" s="1" t="str">
        <f>_xll.RssTickList(B18:D18,$K$12,20)</f>
        <v>=RssTickList(B18:D18,$K$12,20) =&gt; マーケットスピード II にログインして「接続中」の状態に変更してから利用してください。</v>
      </c>
      <c r="J17" s="1" t="s">
        <v>82</v>
      </c>
      <c r="K17" s="1" t="str">
        <f>_xll.RssFOPOpenOrder(L19,L20,L21,L25,L26,L27,L28,L29,L30,L31,L32,L33,L34,L35,L36)</f>
        <v>=RssFOPOpenOrder(L19,L20,L21,L25,L26,L27,L28,L29,L30,L31,L32,L33,L34,L35,L36) =&gt; 入力エラー：発注IDは、1以上の数値で入力してください。</v>
      </c>
      <c r="L17" s="25" t="str">
        <f>RIGHT(K17,LEN(K17)-77)</f>
        <v xml:space="preserve"> =&gt; 入力エラー：発注IDは、1以上の数値で入力してください。</v>
      </c>
      <c r="P17" s="20"/>
      <c r="Q17" s="20"/>
      <c r="R17" s="20"/>
      <c r="S17" s="20"/>
      <c r="T17" s="20"/>
    </row>
    <row r="18" spans="2:21">
      <c r="B18" s="5" t="s">
        <v>59</v>
      </c>
      <c r="C18" s="5" t="s">
        <v>58</v>
      </c>
      <c r="D18" s="5" t="s">
        <v>57</v>
      </c>
      <c r="F18" s="13" t="s">
        <v>56</v>
      </c>
      <c r="G18" s="13" t="s">
        <v>55</v>
      </c>
      <c r="H18" s="13" t="s">
        <v>54</v>
      </c>
      <c r="J18" s="14" t="s">
        <v>53</v>
      </c>
      <c r="K18" s="16" t="s">
        <v>52</v>
      </c>
      <c r="L18" s="24" t="s">
        <v>78</v>
      </c>
      <c r="M18" s="14" t="s">
        <v>50</v>
      </c>
      <c r="N18" s="96" t="s">
        <v>77</v>
      </c>
      <c r="O18" s="89"/>
      <c r="P18" s="89"/>
      <c r="Q18" s="89"/>
      <c r="R18" s="89"/>
      <c r="S18" s="89"/>
      <c r="T18" s="89"/>
      <c r="U18" s="89"/>
    </row>
    <row r="19" spans="2:21">
      <c r="B19" s="37"/>
      <c r="C19" s="37"/>
      <c r="D19" s="37"/>
      <c r="F19" s="3" t="str">
        <f>_xll.RssFOPMarket($K$12,"最良売気配数量10")</f>
        <v/>
      </c>
      <c r="G19" s="3" t="str">
        <f>_xll.RssFOPMarket($K$12,"最良売気配値10")</f>
        <v/>
      </c>
      <c r="H19" s="5"/>
      <c r="J19" s="9" t="s">
        <v>153</v>
      </c>
      <c r="K19" s="9" t="s">
        <v>71</v>
      </c>
      <c r="L19" s="19"/>
      <c r="M19" s="6" t="s">
        <v>146</v>
      </c>
      <c r="N19" s="94" t="s">
        <v>152</v>
      </c>
      <c r="O19" s="95"/>
      <c r="P19" s="95"/>
      <c r="Q19" s="95"/>
      <c r="R19" s="95"/>
      <c r="S19" s="95"/>
      <c r="T19" s="95"/>
      <c r="U19" s="92"/>
    </row>
    <row r="20" spans="2:21">
      <c r="B20" s="37"/>
      <c r="C20" s="37"/>
      <c r="D20" s="37"/>
      <c r="F20" s="3" t="str">
        <f>_xll.RssFOPMarket($K$12,"最良売気配数量9")</f>
        <v/>
      </c>
      <c r="G20" s="3" t="str">
        <f>_xll.RssFOPMarket($K$12,"最良売気配値9")</f>
        <v/>
      </c>
      <c r="H20" s="5"/>
      <c r="J20" s="9" t="s">
        <v>67</v>
      </c>
      <c r="K20" s="9" t="s">
        <v>65</v>
      </c>
      <c r="L20" s="19">
        <v>0</v>
      </c>
      <c r="M20" s="6" t="str">
        <f>IF(ISBLANK(L20),"待機中",IF(OR(L20=0,L20=FALSE),"待機中",IF(OR(L20=1,L20=TRUE),"発注","")))</f>
        <v>待機中</v>
      </c>
      <c r="N20" s="92" t="s">
        <v>151</v>
      </c>
      <c r="O20" s="93"/>
      <c r="P20" s="93"/>
      <c r="Q20" s="93"/>
      <c r="R20" s="93"/>
      <c r="S20" s="93"/>
      <c r="T20" s="93"/>
      <c r="U20" s="93"/>
    </row>
    <row r="21" spans="2:21">
      <c r="B21" s="37"/>
      <c r="C21" s="37"/>
      <c r="D21" s="37"/>
      <c r="F21" s="3" t="str">
        <f>_xll.RssFOPMarket($K$12,"最良売気配数量8")</f>
        <v/>
      </c>
      <c r="G21" s="3" t="str">
        <f>_xll.RssFOPMarket($K$12,"最良売気配値8")</f>
        <v/>
      </c>
      <c r="H21" s="5"/>
      <c r="J21" s="9" t="s">
        <v>62</v>
      </c>
      <c r="K21" s="9" t="s">
        <v>150</v>
      </c>
      <c r="L21" s="19" t="str">
        <f>K12</f>
        <v>ご指定の銘柄コードは存在しません。再入力してください。</v>
      </c>
      <c r="M21" s="68" t="str">
        <f>_xll.RssFOPMarket($K$12, "銘柄名称")</f>
        <v/>
      </c>
      <c r="N21" s="92" t="s">
        <v>60</v>
      </c>
      <c r="O21" s="93"/>
      <c r="P21" s="93"/>
      <c r="Q21" s="93"/>
      <c r="R21" s="93"/>
      <c r="S21" s="93"/>
      <c r="T21" s="93"/>
      <c r="U21" s="93"/>
    </row>
    <row r="22" spans="2:21">
      <c r="B22" s="5"/>
      <c r="C22" s="5"/>
      <c r="D22" s="5"/>
      <c r="F22" s="3" t="str">
        <f>_xll.RssFOPMarket($K$12,"最良売気配数量7")</f>
        <v/>
      </c>
      <c r="G22" s="3" t="str">
        <f>_xll.RssFOPMarket($K$12,"最良売気配値7")</f>
        <v/>
      </c>
      <c r="H22" s="5"/>
    </row>
    <row r="23" spans="2:21">
      <c r="B23" s="5"/>
      <c r="C23" s="5"/>
      <c r="D23" s="5"/>
      <c r="F23" s="3" t="str">
        <f>_xll.RssFOPMarket($K$12,"最良売気配数量6")</f>
        <v/>
      </c>
      <c r="G23" s="3" t="str">
        <f>_xll.RssFOPMarket($K$12,"最良売気配値6")</f>
        <v/>
      </c>
      <c r="H23" s="5"/>
    </row>
    <row r="24" spans="2:21">
      <c r="B24" s="5"/>
      <c r="C24" s="5"/>
      <c r="D24" s="5"/>
      <c r="F24" s="3" t="str">
        <f>_xll.RssFOPMarket($K$12,"最良売気配数量5")</f>
        <v/>
      </c>
      <c r="G24" s="3" t="str">
        <f>_xll.RssFOPMarket($K$12,"最良売気配値5")</f>
        <v/>
      </c>
      <c r="H24" s="5"/>
      <c r="J24" s="14" t="s">
        <v>53</v>
      </c>
      <c r="K24" s="16" t="s">
        <v>52</v>
      </c>
      <c r="L24" s="15" t="s">
        <v>51</v>
      </c>
      <c r="M24" s="14" t="s">
        <v>50</v>
      </c>
      <c r="N24" s="96" t="s">
        <v>49</v>
      </c>
      <c r="O24" s="89"/>
      <c r="P24" s="89"/>
      <c r="Q24" s="89"/>
      <c r="R24" s="89"/>
      <c r="S24" s="89"/>
      <c r="T24" s="89"/>
      <c r="U24" s="89"/>
    </row>
    <row r="25" spans="2:21">
      <c r="B25" s="5"/>
      <c r="C25" s="5"/>
      <c r="D25" s="5"/>
      <c r="F25" s="3" t="str">
        <f>_xll.RssFOPMarket($K$12,"最良売気配数量4")</f>
        <v/>
      </c>
      <c r="G25" s="3" t="str">
        <f>_xll.RssFOPMarket($K$12,"最良売気配値4")</f>
        <v/>
      </c>
      <c r="H25" s="5"/>
      <c r="J25" s="9" t="s">
        <v>43</v>
      </c>
      <c r="K25" s="9" t="s">
        <v>149</v>
      </c>
      <c r="L25" s="11"/>
      <c r="M25" s="6" t="str">
        <f>IF(ISBLANK(L25),"",IF(L25=1,"売建",IF(L25=3,"買建","")))</f>
        <v/>
      </c>
      <c r="N25" s="94" t="s">
        <v>148</v>
      </c>
      <c r="O25" s="95"/>
      <c r="P25" s="95"/>
      <c r="Q25" s="95"/>
      <c r="R25" s="95"/>
      <c r="S25" s="95"/>
      <c r="T25" s="95"/>
      <c r="U25" s="92"/>
    </row>
    <row r="26" spans="2:21">
      <c r="B26" s="5"/>
      <c r="C26" s="5"/>
      <c r="D26" s="5"/>
      <c r="F26" s="3" t="str">
        <f>_xll.RssFOPMarket($K$12,"最良売気配数量3")</f>
        <v/>
      </c>
      <c r="G26" s="3" t="str">
        <f>_xll.RssFOPMarket($K$12,"最良売気配値3")</f>
        <v/>
      </c>
      <c r="H26" s="5"/>
      <c r="J26" s="9" t="s">
        <v>40</v>
      </c>
      <c r="K26" s="9" t="s">
        <v>38</v>
      </c>
      <c r="L26" s="11"/>
      <c r="M26" s="6" t="str">
        <f>IF(ISBLANK(L26),"",IF(L26=0,"通常注文",IF(L26=1,"逆指付通常",IF(L26=2,"逆指値注文",""))))</f>
        <v/>
      </c>
      <c r="N26" s="94" t="s">
        <v>147</v>
      </c>
      <c r="O26" s="95"/>
      <c r="P26" s="95"/>
      <c r="Q26" s="95"/>
      <c r="R26" s="95"/>
      <c r="S26" s="95"/>
      <c r="T26" s="95"/>
      <c r="U26" s="92"/>
    </row>
    <row r="27" spans="2:21">
      <c r="B27" s="5"/>
      <c r="C27" s="5"/>
      <c r="D27" s="5"/>
      <c r="F27" s="3" t="str">
        <f>_xll.RssFOPMarket($K$12,"最良売気配数量2")</f>
        <v/>
      </c>
      <c r="G27" s="3" t="str">
        <f>_xll.RssFOPMarket($K$12,"最良売気配値2")</f>
        <v/>
      </c>
      <c r="H27" s="5"/>
      <c r="J27" s="9" t="s">
        <v>36</v>
      </c>
      <c r="K27" s="9" t="s">
        <v>33</v>
      </c>
      <c r="L27" s="11"/>
      <c r="M27" s="6" t="s">
        <v>146</v>
      </c>
      <c r="N27" s="94" t="s">
        <v>31</v>
      </c>
      <c r="O27" s="95"/>
      <c r="P27" s="95"/>
      <c r="Q27" s="95"/>
      <c r="R27" s="95"/>
      <c r="S27" s="95"/>
      <c r="T27" s="95"/>
      <c r="U27" s="92"/>
    </row>
    <row r="28" spans="2:21">
      <c r="B28" s="5"/>
      <c r="C28" s="5"/>
      <c r="D28" s="5"/>
      <c r="F28" s="3" t="str">
        <f>_xll.RssFOPMarket($K$12,"最良売気配数量1")</f>
        <v/>
      </c>
      <c r="G28" s="3" t="str">
        <f>_xll.RssFOPMarket($K$12,"最良売気配値1")</f>
        <v/>
      </c>
      <c r="H28" s="5"/>
      <c r="J28" s="9" t="s">
        <v>145</v>
      </c>
      <c r="K28" s="9" t="s">
        <v>29</v>
      </c>
      <c r="L28" s="11"/>
      <c r="M28" s="6" t="str">
        <f>IF(OR(ISBLANK(L28),L26=2),"",IF(L28=0,"成行",IF(L28=1,"指値","")))</f>
        <v/>
      </c>
      <c r="N28" s="108" t="s">
        <v>28</v>
      </c>
      <c r="O28" s="91"/>
      <c r="P28" s="91"/>
      <c r="Q28" s="91"/>
      <c r="R28" s="91"/>
      <c r="S28" s="91"/>
      <c r="T28" s="91"/>
      <c r="U28" s="91"/>
    </row>
    <row r="29" spans="2:21">
      <c r="B29" s="5"/>
      <c r="C29" s="5"/>
      <c r="D29" s="5"/>
      <c r="F29" s="5"/>
      <c r="G29" s="3" t="str">
        <f>_xll.RssFOPMarket($K$12,"最良買気配値1")</f>
        <v/>
      </c>
      <c r="H29" s="3" t="str">
        <f>_xll.RssFOPMarket($K$12,"最良買気配数量1")</f>
        <v/>
      </c>
      <c r="J29" s="9" t="s">
        <v>144</v>
      </c>
      <c r="K29" s="9" t="s">
        <v>143</v>
      </c>
      <c r="L29" s="11"/>
      <c r="M29" s="6" t="str">
        <f>IF(OR(L28&lt;&gt;1,L26=2),"","-")</f>
        <v/>
      </c>
      <c r="N29" s="94" t="s">
        <v>142</v>
      </c>
      <c r="O29" s="95"/>
      <c r="P29" s="95"/>
      <c r="Q29" s="95"/>
      <c r="R29" s="95"/>
      <c r="S29" s="95"/>
      <c r="T29" s="95"/>
      <c r="U29" s="92"/>
    </row>
    <row r="30" spans="2:21">
      <c r="B30" s="5"/>
      <c r="C30" s="5"/>
      <c r="D30" s="5"/>
      <c r="F30" s="5"/>
      <c r="G30" s="3" t="str">
        <f>_xll.RssFOPMarket($K$12,"最良買気配値2")</f>
        <v/>
      </c>
      <c r="H30" s="3" t="str">
        <f>_xll.RssFOPMarket($K$12,"最良買気配数量2")</f>
        <v/>
      </c>
      <c r="J30" s="9" t="s">
        <v>141</v>
      </c>
      <c r="K30" s="9" t="s">
        <v>140</v>
      </c>
      <c r="L30" s="11"/>
      <c r="M30" s="6" t="str">
        <f>IF(ISBLANK(L30),"",IF(L30=1,"FOK",IF(L30=2,"FAK",IF(L30=3,"FAS",""))))</f>
        <v/>
      </c>
      <c r="N30" s="94" t="s">
        <v>139</v>
      </c>
      <c r="O30" s="95"/>
      <c r="P30" s="95"/>
      <c r="Q30" s="95"/>
      <c r="R30" s="95"/>
      <c r="S30" s="95"/>
      <c r="T30" s="95"/>
      <c r="U30" s="92"/>
    </row>
    <row r="31" spans="2:21">
      <c r="B31" s="5"/>
      <c r="C31" s="5"/>
      <c r="D31" s="5"/>
      <c r="F31" s="5"/>
      <c r="G31" s="3" t="str">
        <f>_xll.RssFOPMarket($K$12,"最良買気配値3")</f>
        <v/>
      </c>
      <c r="H31" s="3" t="str">
        <f>_xll.RssFOPMarket($K$12,"最良買気配数量3")</f>
        <v/>
      </c>
      <c r="J31" s="9" t="s">
        <v>138</v>
      </c>
      <c r="K31" s="9" t="s">
        <v>137</v>
      </c>
      <c r="L31" s="11"/>
      <c r="M31" s="6" t="str">
        <f>IF(ISBLANK(L31),"",IF(L31=1,"当セッション",IF(L31=4,"引け",IF(L31=5,"期間指定",IF(L31=9,"取引最終日","")))))</f>
        <v/>
      </c>
      <c r="N31" s="94" t="s">
        <v>136</v>
      </c>
      <c r="O31" s="95"/>
      <c r="P31" s="95"/>
      <c r="Q31" s="95"/>
      <c r="R31" s="95"/>
      <c r="S31" s="95"/>
      <c r="T31" s="95"/>
      <c r="U31" s="92"/>
    </row>
    <row r="32" spans="2:21">
      <c r="B32" s="5"/>
      <c r="C32" s="5"/>
      <c r="D32" s="5"/>
      <c r="F32" s="5"/>
      <c r="G32" s="3" t="str">
        <f>_xll.RssFOPMarket($K$12,"最良買気配値4")</f>
        <v/>
      </c>
      <c r="H32" s="3" t="str">
        <f>_xll.RssFOPMarket($K$12,"最良買気配数量4")</f>
        <v/>
      </c>
      <c r="J32" s="9" t="s">
        <v>135</v>
      </c>
      <c r="K32" s="9" t="s">
        <v>23</v>
      </c>
      <c r="L32" s="11"/>
      <c r="M32" s="6" t="str">
        <f>IF(L31&lt;&gt;5,"","ー")</f>
        <v/>
      </c>
      <c r="N32" s="94" t="s">
        <v>134</v>
      </c>
      <c r="O32" s="95"/>
      <c r="P32" s="95"/>
      <c r="Q32" s="95"/>
      <c r="R32" s="95"/>
      <c r="S32" s="95"/>
      <c r="T32" s="95"/>
      <c r="U32" s="92"/>
    </row>
    <row r="33" spans="2:21">
      <c r="B33" s="5"/>
      <c r="C33" s="5"/>
      <c r="D33" s="5"/>
      <c r="F33" s="5"/>
      <c r="G33" s="3" t="str">
        <f>_xll.RssFOPMarket($K$12,"最良買気配値5")</f>
        <v/>
      </c>
      <c r="H33" s="3" t="str">
        <f>_xll.RssFOPMarket($K$12,"最良買気配数量5")</f>
        <v/>
      </c>
      <c r="J33" s="9" t="s">
        <v>133</v>
      </c>
      <c r="K33" s="9" t="s">
        <v>18</v>
      </c>
      <c r="L33" s="11"/>
      <c r="M33" s="6" t="str">
        <f>IF(AND(L26&lt;&gt;1,L26&lt;&gt;2),"","ー")</f>
        <v/>
      </c>
      <c r="N33" s="94" t="s">
        <v>132</v>
      </c>
      <c r="O33" s="95"/>
      <c r="P33" s="95"/>
      <c r="Q33" s="95"/>
      <c r="R33" s="95"/>
      <c r="S33" s="95"/>
      <c r="T33" s="95"/>
      <c r="U33" s="92"/>
    </row>
    <row r="34" spans="2:21">
      <c r="B34" s="5"/>
      <c r="C34" s="5"/>
      <c r="D34" s="5"/>
      <c r="F34" s="5"/>
      <c r="G34" s="3" t="str">
        <f>_xll.RssFOPMarket($K$12,"最良買気配値6")</f>
        <v/>
      </c>
      <c r="H34" s="3" t="str">
        <f>_xll.RssFOPMarket($K$12,"最良買気配数量6")</f>
        <v/>
      </c>
      <c r="J34" s="9" t="s">
        <v>131</v>
      </c>
      <c r="K34" s="9" t="s">
        <v>15</v>
      </c>
      <c r="L34" s="11"/>
      <c r="M34" s="6" t="str">
        <f>IF(AND(L26&lt;&gt;1,L26&lt;&gt;2),"",IF(ISBLANK(L34),"",IF(L34=1,"以上",IF(L34=2,"以下",""))))</f>
        <v/>
      </c>
      <c r="N34" s="94" t="s">
        <v>130</v>
      </c>
      <c r="O34" s="95"/>
      <c r="P34" s="95"/>
      <c r="Q34" s="95"/>
      <c r="R34" s="95"/>
      <c r="S34" s="95"/>
      <c r="T34" s="95"/>
      <c r="U34" s="92"/>
    </row>
    <row r="35" spans="2:21">
      <c r="B35" s="5"/>
      <c r="C35" s="5"/>
      <c r="D35" s="5"/>
      <c r="F35" s="5"/>
      <c r="G35" s="3" t="str">
        <f>_xll.RssFOPMarket($K$12,"最良買気配値7")</f>
        <v/>
      </c>
      <c r="H35" s="3" t="str">
        <f>_xll.RssFOPMarket($K$12,"最良買気配数量7")</f>
        <v/>
      </c>
      <c r="J35" s="9" t="s">
        <v>129</v>
      </c>
      <c r="K35" s="9" t="s">
        <v>12</v>
      </c>
      <c r="L35" s="11"/>
      <c r="M35" s="6" t="str">
        <f>IF(AND(L26&lt;&gt;1,L26&lt;&gt;2),"",IF(ISBLANK(L35),"",IF(L35=0,"成行",IF(L35=1,"指値",""))))</f>
        <v/>
      </c>
      <c r="N35" s="97" t="s">
        <v>128</v>
      </c>
      <c r="O35" s="91"/>
      <c r="P35" s="91"/>
      <c r="Q35" s="91"/>
      <c r="R35" s="91"/>
      <c r="S35" s="91"/>
      <c r="T35" s="91"/>
      <c r="U35" s="91"/>
    </row>
    <row r="36" spans="2:21" ht="18.75" customHeight="1">
      <c r="B36" s="5"/>
      <c r="C36" s="5"/>
      <c r="D36" s="5"/>
      <c r="F36" s="5"/>
      <c r="G36" s="3" t="str">
        <f>_xll.RssFOPMarket($K$12,"最良買気配値8")</f>
        <v/>
      </c>
      <c r="H36" s="3" t="str">
        <f>_xll.RssFOPMarket($K$12,"最良買気配数量8")</f>
        <v/>
      </c>
      <c r="J36" s="9" t="s">
        <v>127</v>
      </c>
      <c r="K36" s="9" t="s">
        <v>9</v>
      </c>
      <c r="L36" s="11"/>
      <c r="M36" s="6" t="str">
        <f>IF(OR(AND(L26&lt;&gt;1,L26&lt;&gt;2),L35&lt;&gt;1),"","ー")</f>
        <v/>
      </c>
      <c r="N36" s="94" t="s">
        <v>126</v>
      </c>
      <c r="O36" s="95"/>
      <c r="P36" s="95"/>
      <c r="Q36" s="95"/>
      <c r="R36" s="95"/>
      <c r="S36" s="95"/>
      <c r="T36" s="95"/>
      <c r="U36" s="92"/>
    </row>
    <row r="37" spans="2:21">
      <c r="B37" s="5"/>
      <c r="C37" s="5"/>
      <c r="D37" s="5"/>
      <c r="F37" s="5"/>
      <c r="G37" s="3" t="str">
        <f>_xll.RssFOPMarket($K$12,"最良買気配値9")</f>
        <v/>
      </c>
      <c r="H37" s="3" t="str">
        <f>_xll.RssFOPMarket($K$12,"最良買気配数量9")</f>
        <v/>
      </c>
    </row>
    <row r="38" spans="2:21">
      <c r="B38" s="5"/>
      <c r="C38" s="5"/>
      <c r="D38" s="5"/>
      <c r="F38" s="5"/>
      <c r="G38" s="3" t="str">
        <f>_xll.RssFOPMarket($K$12,"最良買気配値10")</f>
        <v/>
      </c>
      <c r="H38" s="3" t="str">
        <f>_xll.RssFOPMarket($K$12,"最良買気配数量10")</f>
        <v/>
      </c>
    </row>
    <row r="39" spans="2:21">
      <c r="B39" s="2"/>
      <c r="C39" s="2"/>
      <c r="D39" s="2"/>
    </row>
  </sheetData>
  <mergeCells count="24">
    <mergeCell ref="C8:F8"/>
    <mergeCell ref="C7:F7"/>
    <mergeCell ref="N32:U32"/>
    <mergeCell ref="N33:U33"/>
    <mergeCell ref="L8:U8"/>
    <mergeCell ref="L9:U9"/>
    <mergeCell ref="L10:U10"/>
    <mergeCell ref="L11:U11"/>
    <mergeCell ref="L7:U7"/>
    <mergeCell ref="N20:U20"/>
    <mergeCell ref="N21:U21"/>
    <mergeCell ref="N19:U19"/>
    <mergeCell ref="N26:U26"/>
    <mergeCell ref="N24:U24"/>
    <mergeCell ref="N25:U25"/>
    <mergeCell ref="N18:U18"/>
    <mergeCell ref="N36:U36"/>
    <mergeCell ref="N27:U27"/>
    <mergeCell ref="N28:U28"/>
    <mergeCell ref="N29:U29"/>
    <mergeCell ref="N30:U30"/>
    <mergeCell ref="N31:U31"/>
    <mergeCell ref="N34:U34"/>
    <mergeCell ref="N35:U35"/>
  </mergeCells>
  <phoneticPr fontId="4"/>
  <conditionalFormatting sqref="K10">
    <cfRule type="expression" dxfId="6" priority="7">
      <formula>$K$8&lt;&gt;"N225OP"</formula>
    </cfRule>
  </conditionalFormatting>
  <conditionalFormatting sqref="K11">
    <cfRule type="expression" dxfId="5" priority="6">
      <formula>$K$8&lt;&gt;"N225OP"</formula>
    </cfRule>
  </conditionalFormatting>
  <conditionalFormatting sqref="L28:L29">
    <cfRule type="expression" dxfId="4" priority="5">
      <formula>$L$26=2</formula>
    </cfRule>
  </conditionalFormatting>
  <conditionalFormatting sqref="L29">
    <cfRule type="expression" dxfId="3" priority="4">
      <formula>$L$28&lt;&gt;1</formula>
    </cfRule>
  </conditionalFormatting>
  <conditionalFormatting sqref="L32">
    <cfRule type="expression" dxfId="2" priority="3">
      <formula>$L$31&lt;&gt;5</formula>
    </cfRule>
  </conditionalFormatting>
  <conditionalFormatting sqref="L33:L35">
    <cfRule type="expression" dxfId="1" priority="2">
      <formula>AND($L$26&lt;&gt;1,$L$26&lt;&gt;2)</formula>
    </cfRule>
  </conditionalFormatting>
  <conditionalFormatting sqref="L36">
    <cfRule type="expression" dxfId="0" priority="1">
      <formula>OR(AND($L$26&lt;&gt;1,$L$26&lt;&gt;2),$L$35&lt;&gt;1)</formula>
    </cfRule>
  </conditionalFormatting>
  <dataValidations count="8">
    <dataValidation type="list" allowBlank="1" showErrorMessage="1" errorTitle="注文区分　入力値エラー" error="0,1,2以外の数値は入力できません" promptTitle="注文区分" prompt="0:通常注文_x000a_1:指値付通常注文_x000a_2:逆指値注文" sqref="L26">
      <formula1>"0,1,2"</formula1>
    </dataValidation>
    <dataValidation type="list" allowBlank="1" showErrorMessage="1" errorTitle="価格区分　入力値エラー" error="0，1以外の数値は入力できません" promptTitle="価格区分" prompt="0：成行_x000a_1：指値" sqref="L28">
      <formula1>"0,1"</formula1>
    </dataValidation>
    <dataValidation type="list" allowBlank="1" showErrorMessage="1" errorTitle="逆指値条件区分　入力値エラー" error="1,2以外の数値は入力できません" promptTitle="逆指値条件区分" prompt="1:以上_x000a_2:以下" sqref="L34">
      <formula1>"1,2"</formula1>
    </dataValidation>
    <dataValidation type="list" allowBlank="1" showErrorMessage="1" errorTitle="逆指値価格区分　入力値エラー" error="0,1以外の数値は入力できません" promptTitle="逆指値価格区分" prompt="0:成行_x000a_1:指値" sqref="L35">
      <formula1>"0,1"</formula1>
    </dataValidation>
    <dataValidation type="list" allowBlank="1" showErrorMessage="1" errorTitle="執行数量条件　入力値エラー" error="1,2,3以外の数値は入力できません" promptTitle="執行数量条件" prompt="1:FOK_x000a_2:FAK_x000a_3:FAS" sqref="L30">
      <formula1>"1,2,3"</formula1>
    </dataValidation>
    <dataValidation type="list" allowBlank="1" showErrorMessage="1" errorTitle="執行時間条件 入力値エラー" error="1,4,5,9以外の数値は入力できません" promptTitle="執行時間条件" prompt="1:当セッション_x000a_4:引け_x000a_5:期間指定_x000a_9:取引最終日" sqref="L31">
      <formula1>"1,4,5,9"</formula1>
    </dataValidation>
    <dataValidation type="list" allowBlank="1" showErrorMessage="1" errorTitle="銘柄種類　入力値エラー" error="入力されたコードが正しくありません" promptTitle="銘柄種類" prompt="N225F:日経225先物_x000a_N225MF:日経225先物ミニ_x000a_MOTF:東証マザーズ先物_x000a_N225OP:日経225オプション_x000a_TOPXF:TOPIX先物_x000a_JN400F:JPX日経400先物_x000a_GOLDF:金_x000a_GOLDMINIF:金ミニ_x000a_上記以外についてはヘルプをご参照ください_x000a__x000a__x000a__x000a_" sqref="K8">
      <formula1>"N225F,N225MF,MOTF,N225OP,TOPXF,JN400F,GOLDF,GOLDMINIF,GOLDSPOTF,PLATINUMF,PLATINUMMINIF,PLATINUMSPOTF,SILVERF,PALLADIUMF,RSS3F,TSR20F,REDBEANF,SOYBEANF,CORNF"</formula1>
    </dataValidation>
    <dataValidation type="list" allowBlank="1" showErrorMessage="1" errorTitle="売買区分　入力値エラー" error="1，3以外の数値は入力できません" promptTitle="売買区分" prompt="1:売（売建）_x000a_3:買（買建)" sqref="L25">
      <formula1>"1,3"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F7"/>
  <sheetViews>
    <sheetView workbookViewId="0"/>
  </sheetViews>
  <sheetFormatPr defaultRowHeight="18.75"/>
  <cols>
    <col min="9" max="9" width="19.75" bestFit="1" customWidth="1"/>
  </cols>
  <sheetData>
    <row r="1" spans="1:6">
      <c r="A1" s="76" t="s">
        <v>223</v>
      </c>
    </row>
    <row r="2" spans="1:6">
      <c r="A2" s="77" t="s">
        <v>224</v>
      </c>
    </row>
    <row r="3" spans="1:6">
      <c r="A3" s="77" t="s">
        <v>225</v>
      </c>
    </row>
    <row r="4" spans="1:6">
      <c r="A4" s="81">
        <f>MAX(A7:A1048576)</f>
        <v>0</v>
      </c>
      <c r="B4" t="s">
        <v>238</v>
      </c>
    </row>
    <row r="5" spans="1:6">
      <c r="A5" t="str">
        <f>_xll.RssOrderIDList($A$6:$F$6)</f>
        <v>=RssOrderIDList($A$6:$F$6) =&gt; 配信中</v>
      </c>
    </row>
    <row r="6" spans="1:6">
      <c r="A6" t="s">
        <v>226</v>
      </c>
      <c r="B6" t="s">
        <v>227</v>
      </c>
      <c r="C6" t="s">
        <v>228</v>
      </c>
      <c r="D6" t="s">
        <v>229</v>
      </c>
      <c r="E6" t="s">
        <v>230</v>
      </c>
      <c r="F6" t="s">
        <v>231</v>
      </c>
    </row>
    <row r="7" spans="1:6">
      <c r="A7" s="78" t="s">
        <v>245</v>
      </c>
      <c r="B7" s="78" t="s">
        <v>245</v>
      </c>
      <c r="C7" s="78" t="s">
        <v>245</v>
      </c>
      <c r="D7" s="78" t="s">
        <v>245</v>
      </c>
      <c r="E7" s="78" t="s">
        <v>245</v>
      </c>
      <c r="F7" s="78" t="s">
        <v>245</v>
      </c>
    </row>
  </sheetData>
  <phoneticPr fontId="4"/>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目次</vt:lpstr>
      <vt:lpstr>国内株発注①</vt:lpstr>
      <vt:lpstr>国内株発注②</vt:lpstr>
      <vt:lpstr>先物OP発注</vt:lpstr>
      <vt:lpstr>発注ID一覧</vt:lpstr>
      <vt:lpstr>国内株発注①!Print_Area</vt:lpstr>
      <vt:lpstr>国内株発注②!Print_Area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Kawakami, Taichi</dc:creator>
  <cp:lastModifiedBy>Kawakami, Taichi</cp:lastModifiedBy>
  <dcterms:created xsi:type="dcterms:W3CDTF">2021-05-24T19:37:15Z</dcterms:created>
  <dcterms:modified xsi:type="dcterms:W3CDTF">2021-06-25T10:36:10Z</dcterms:modified>
</cp:coreProperties>
</file>